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'Лист1'!$A$1:$F$383</definedName>
  </definedNames>
  <calcPr fullCalcOnLoad="1"/>
</workbook>
</file>

<file path=xl/sharedStrings.xml><?xml version="1.0" encoding="utf-8"?>
<sst xmlns="http://schemas.openxmlformats.org/spreadsheetml/2006/main" count="1489" uniqueCount="602">
  <si>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секторе" на 2010 - 2020 годы"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</si>
  <si>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2014-2016 годы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</si>
  <si>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 на 2016 год</t>
  </si>
  <si>
    <t>Муниципальная программа "Благоустройство территории Чебаркульского городского округа" на 2016 год</t>
  </si>
  <si>
    <t>Муниципальная программа "Управление муниципальными финансами и муниципальным долгом Чебаркульского городского округа" на 2016 год</t>
  </si>
  <si>
    <t>Муниципальная программа "Развитие культуры в муниципальном образовании "Чебаркульский городской округ" на 2016 год</t>
  </si>
  <si>
    <t>Муниципальная программа "Поддержка и развитие дошкольного образования в Чебаркульском городском округе" на 2016 - 2018 годы</t>
  </si>
  <si>
    <t xml:space="preserve">Муниципальная программа  "Обеспечение доступным и комфортным жильем граждан Российской Федерации в Чебаркульском городском округе" на 2014 - 2020 годы </t>
  </si>
  <si>
    <t>56 2 07 79517</t>
  </si>
  <si>
    <t>59 0 09 79517</t>
  </si>
  <si>
    <t>Создание дополнительных мест для детей дошкольного возраста (Предоставление субсидий бюджетным, автономным учреждениям и иным некоммерческим организациям)</t>
  </si>
  <si>
    <t>Обеспечение территориальной и экономической доступности дошкольного образования</t>
  </si>
  <si>
    <t>47 1 00 00000</t>
  </si>
  <si>
    <t>47 1 10 00000</t>
  </si>
  <si>
    <t>47 1 20 S9900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</si>
  <si>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</si>
  <si>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</si>
  <si>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</si>
  <si>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(Предоставление субсидий бюджетным, автономным учреждениям и иным некоммерческим организациям)</t>
  </si>
  <si>
    <t>Учреждения спортивной подготовки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</si>
  <si>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(Предоставление субсидий бюджетным, автономным учреждениям и иным некоммерческим организациям)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</si>
  <si>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</si>
  <si>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</si>
  <si>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</si>
  <si>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Проведение мероприятий в рамках подготовки учреждений к новому учебному году (Предоставление субсидий бюджетным, автономным учреждениям и иным некоммерческим организациям)</t>
  </si>
  <si>
    <t xml:space="preserve">Подпрограмма "Обеспечение комплексной безопасности и подготовки образовательных организаций к новому учебному году </t>
  </si>
  <si>
    <t>Проведение мероприятий с детьми и молодежью (Предоставление субсидий бюджетным, автономным учреждениям и иным некоммерческим организациям)</t>
  </si>
  <si>
    <t>Мероприятия по повышению доступности и качества предоставления государственных и муниципальных услуг на базе МФЦ (Предоставление субсидий бюджетным, автономным учреждениям и иным некоммерческим организациям)</t>
  </si>
  <si>
    <t>Дворцы и дома культуры, другие учреждения культуры (Предоставление субсидий бюджетным, автономным учреждениям и иным некоммерческим организациям)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</si>
  <si>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</si>
  <si>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Учреждения, осуществляющие функции строительного контроля (Предоставление субсидий бюджетным, автономным учреждениям и иным некоммерческим организациям)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</si>
  <si>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</si>
  <si>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</si>
  <si>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</si>
  <si>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(Закупка товаров, работ и услуг для государственных (муниципальных) нужд)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</si>
  <si>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(Закупка товаров, работ и услуг для государственных (муниципальных) нужд)</t>
  </si>
  <si>
    <t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(Закупка товаров, работ и услуг для государственных (муниципальных) нужд)</t>
  </si>
  <si>
    <t xml:space="preserve">Ежемесячное пособие на ребенка в соответствии с Законом Челябинской области «О ежемесячном пособии на ребенка» (Закупка товаров, работ и услуг для государственных (муниципальных) нужд)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</si>
  <si>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</si>
  <si>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</si>
  <si>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(Закупка товаров, работ и услуг для государственных (муниципальных) нужд)</t>
  </si>
  <si>
    <t>Организация и осуществление деятельности по опеке и попечительству (Закупка товаров, работ и услуг для государственных (муниципальных) нужд)</t>
  </si>
  <si>
    <t>Проведение капитального ремонта нежилого помещения под жилые помещения (Закупка товаров, работ и услуг для государственных (муниципальных) нужд)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</si>
  <si>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</si>
  <si>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Проведение мероприятий с детьми и молодежью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</si>
  <si>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</si>
  <si>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Продуктовые и гигиенические наборы (Закупка товаров, работ и услуг для государственных (муниципальных) нужд)</t>
  </si>
  <si>
    <t>Музеи и постоянные выставки (Закупка товаров, работ и услуг для государственных (муниципальных) нужд)</t>
  </si>
  <si>
    <t>Библиотеки (Закупка товаров, работ и услуг для государственных (муниципальных) нужд)</t>
  </si>
  <si>
    <t>Мероприятия в сфере культуры, кинематографии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</si>
  <si>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</si>
  <si>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</si>
  <si>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(Закупка товаров, работ и услуг для государственных (муниципальных)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</si>
  <si>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(Закупка товаров, работ и услуг для государственных (муниципальных) нужд)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</si>
  <si>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</si>
  <si>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Оценка недвижимости, признание прав и регулирование отношений по государственной  и муниципальной собственности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</si>
  <si>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</si>
  <si>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</si>
  <si>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(Социальное обеспечение и иные выплаты населению)</t>
  </si>
  <si>
    <t>99 0 02 53910</t>
  </si>
  <si>
    <t>Муниципальная программа "Поддержка социально ориентированных некоммерческих организаций Чебаркульского городского округа" на 2016 год</t>
  </si>
  <si>
    <t>66 0 00 00000</t>
  </si>
  <si>
    <t>66 0 56 79512</t>
  </si>
  <si>
    <t>Областная адресная программа «Переселение в 2013–2017 годах граждан из аварийного жилищного фонда в городах и районах Челябинской области»</t>
  </si>
  <si>
    <t>98 0 00 00000</t>
  </si>
  <si>
    <t>98 0 01 00000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</si>
  <si>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Фонда содействия реформированию жилищно-коммунального хозяйства (капитальные вложения в объекты недвижимого имущества государственной (муниципальной) собственности)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</si>
  <si>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(капитальные вложения в объекты недвижимого имущества государственной (муниципальной) собственности)</t>
  </si>
  <si>
    <t>98 0 01 09502</t>
  </si>
  <si>
    <t>98 0 01 09602</t>
  </si>
  <si>
    <t>56 2 07 79515</t>
  </si>
  <si>
    <t>Мероприятия по водоснабжению и водоотведению (Закупка товаров, работ и услуг для государственных (муниципальных) нужд)</t>
  </si>
  <si>
    <t>Мероприятия по водоснабжению и водоотведению (Капитальные вложения в объекты государственной (муниципальной) собственности)</t>
  </si>
  <si>
    <t>Мероприятия по электроснабжению (Капитальные вложения в объекты государственной (муниципальной) собственности)</t>
  </si>
  <si>
    <t>56 2 09 79519</t>
  </si>
  <si>
    <t>63 1 11 79581</t>
  </si>
  <si>
    <t>Мероприятия по газификации (Закупка товаров, работ и услуг для государственных (муниципальных) нужд)</t>
  </si>
  <si>
    <t>56 2 07 79518</t>
  </si>
  <si>
    <t>Государственная программа Челябинской области «Обеспечение доступным и комфортным жильем граждан Российской Федерации» в Челябинской области на 2014–2020 годы</t>
  </si>
  <si>
    <t>14 0 00 00000</t>
  </si>
  <si>
    <t>Подпрограмма «Оказание молодым семьям государственной поддержки для улучшения жилищных условий»</t>
  </si>
  <si>
    <t>14 4 00 00000</t>
  </si>
  <si>
    <t>14 4 01 00000</t>
  </si>
  <si>
    <t>Государственная поддержка в решении жилищной проблемы молодых семей, признанных в установленном порядке нуждающимися в улучшении жилищных условий (Социальное обеспечение и иные выплаты населению)</t>
  </si>
  <si>
    <t>Субсидии бюджетам субъектов Российской Федерации и муниципальных образований в рамках федеральной  целевой программы  "Жилище" на 2011 - 2015 годы на подпрограмму "Обеспечение жильем молодых семей" (Социальное обеспечение и иные выплаты населению)</t>
  </si>
  <si>
    <t>14 4 01 50200</t>
  </si>
  <si>
    <t>56 2 07 00000</t>
  </si>
  <si>
    <t>Проведение мероприятий по модернизации (Предоставление субсидий бюджетным, автономным учреждениям и иным некоммерческим организациям)</t>
  </si>
  <si>
    <t>42 0 00 00000</t>
  </si>
  <si>
    <t>42 0 07 00000</t>
  </si>
  <si>
    <t>42 0 07 79565</t>
  </si>
  <si>
    <t>Мероприятия по благоустройству туристического объекта "Чебаркульская крепость" (Закупка товаров, работ и услуг для государственных (муниципальных) нужд)</t>
  </si>
  <si>
    <t>Государственная программа Челябинской области «Развитие физической культуры и спорта в Челябинской области» на 2015–2017 годы</t>
  </si>
  <si>
    <t>Подпрограмма «Развитие физической культуры, массового спорта и спорта высших достижений»</t>
  </si>
  <si>
    <t>Подпрограмма «Развитие адаптивной физической культуры и спорта»</t>
  </si>
  <si>
    <t>20 0 00 00000</t>
  </si>
  <si>
    <t>20 1 00 00000</t>
  </si>
  <si>
    <t>20 1 01 00000</t>
  </si>
  <si>
    <t>20 1 01 71000</t>
  </si>
  <si>
    <t>20 2 00 00000</t>
  </si>
  <si>
    <t>20 2 01 00000</t>
  </si>
  <si>
    <t>20 2 01 71000</t>
  </si>
  <si>
    <t>Организация и проведение мероприятий в сфере физической культуры и спорта (Предоставление субсидий бюджетным, автономным учреждениям и иным некоммерческим организациям)</t>
  </si>
  <si>
    <t>Софинансирование по организации и проведению мероприятий в сфере физической культуры и спорта (Предоставление субсидий бюджетным, автономным учреждениям и иным некоммерческим организациям)</t>
  </si>
  <si>
    <t>43 5 10 S7100</t>
  </si>
  <si>
    <t>06 0 02 48000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</si>
  <si>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</si>
  <si>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(Социальное обеспечение и иные выплаты населению)</t>
  </si>
  <si>
    <t>42 0 07 01240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</si>
  <si>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</si>
  <si>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06 0 02 49000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</si>
  <si>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(Социальное обеспечение и иные выплаты населению)</t>
  </si>
  <si>
    <t>06 0 02 51370</t>
  </si>
  <si>
    <t>06 0 02 52200</t>
  </si>
  <si>
    <t>Предоставление молодым семьям - участникам подпрограммы социальных выплат на приобретение жилого помещения эконом-класса или строительство индивидуального жилого дома эконом-класса (Социальное обеспечение и иные выплаты населению)</t>
  </si>
  <si>
    <t>56 1 15 S0200</t>
  </si>
  <si>
    <t>Реализация полномочий Российской Федерации на оплату жилищно-коммунальных услуг отдельным категориям граждан  (Закупка товаров, работ и услуг для государственных (муниципальных) нужд)</t>
  </si>
  <si>
    <t>06 0 02 52500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</si>
  <si>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 (Закупка товаров, работ и услуг для государственных (муниципальных) нужд)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</si>
  <si>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 (Социальное обеспечение и иные выплаты населению)</t>
  </si>
  <si>
    <t>06 0 02 75800</t>
  </si>
  <si>
    <t>66 0 56 00000</t>
  </si>
  <si>
    <t>66 0 56 79507</t>
  </si>
  <si>
    <t>66 0 56 79571</t>
  </si>
  <si>
    <t>48 0 07 S3300</t>
  </si>
  <si>
    <t>66 0 07 00000</t>
  </si>
  <si>
    <t>66 0 07 S3300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</si>
  <si>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</si>
  <si>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</si>
  <si>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(Социальное обеспечение и иные выплаты населению)</t>
  </si>
  <si>
    <t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</si>
  <si>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</si>
  <si>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</si>
  <si>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</si>
  <si>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</si>
  <si>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(Социальное обеспечение и иные выплаты населению)</t>
  </si>
  <si>
    <t>Проведение мероприятий "Будущее Чебаркуля"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</si>
  <si>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</si>
  <si>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Доплата к пенсии лицам, замещавшим муниципальные должности (Социальное обеспечение и иные выплаты населению)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</si>
  <si>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</si>
  <si>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</si>
  <si>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</si>
  <si>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</si>
  <si>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</si>
  <si>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(Иные бюджетные ассигнования)</t>
  </si>
  <si>
    <t>Музеи и постоянные выставки (Иные бюджетные ассигнования)</t>
  </si>
  <si>
    <t>Библиотеки (Иные бюджетные ассигнования)</t>
  </si>
  <si>
    <t>Организация работы органов управления социальной защиты населения муниципальных образований (Иные бюджетные ассигнования)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</si>
  <si>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(Иные бюджетные ассигнования)</t>
  </si>
  <si>
    <t>Резервные фонды местных администраций (Иные бюджетные ассигнования)</t>
  </si>
  <si>
    <t>Мероприятия по землеустройству и землепользованию (Иные бюджетные ассигнования)</t>
  </si>
  <si>
    <t>Оценка недвижимости, признание прав и регулирование отношений по государственной  и муниципальной собственности (Иные бюджетные ассигнования)</t>
  </si>
  <si>
    <t>Поисковые и аварийно-спасательные учреждения (Иные бюджетные ассигнования)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</si>
  <si>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</si>
  <si>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99 0 89 30200</t>
  </si>
  <si>
    <t>99 0 99 00000</t>
  </si>
  <si>
    <t>99 0 99 30200</t>
  </si>
  <si>
    <t>99 0 02 91000</t>
  </si>
  <si>
    <t>Иные расходы на реализацию отраслевых мероприятий</t>
  </si>
  <si>
    <t>60 0 00 00000</t>
  </si>
  <si>
    <t>60 0 07 00000</t>
  </si>
  <si>
    <t>60 0 07 79516</t>
  </si>
  <si>
    <t>Проведение мероприятий в рамках программы безопасности дорожного движения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</si>
  <si>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(Закупка товаров, работ и услуг для государственных (муниципальных) нужд)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</si>
  <si>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</si>
  <si>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(Закупка товаров, работ и услуг для государственных (муниципальных) нужд)</t>
  </si>
  <si>
    <t>Поисковые и аварийно-спасательные учреждения (Закупка товаров, работ и услуг для государственных (муниципальных) нужд)</t>
  </si>
  <si>
    <t>Организация работы комиссий по делам несовершеннолетних и защите их прав (Закупка товаров, работ и услуг для государственных (муниципальных) нужд)</t>
  </si>
  <si>
    <t>99 0 55 00000</t>
  </si>
  <si>
    <t>99 0 55 95800</t>
  </si>
  <si>
    <t>Мероприятия в области жилищного хозяйства (Иные бюджетные ассигнования)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</si>
  <si>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</si>
  <si>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</si>
  <si>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</si>
  <si>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</si>
  <si>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</si>
  <si>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</si>
  <si>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</si>
  <si>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</si>
  <si>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</si>
  <si>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</si>
  <si>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</si>
  <si>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</si>
  <si>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</si>
  <si>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</si>
  <si>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</si>
  <si>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</si>
  <si>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</si>
  <si>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</si>
  <si>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>Руб.</t>
  </si>
  <si>
    <t>Процентные платежи по долговым обязательствам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</si>
  <si>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</si>
  <si>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</si>
  <si>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100</t>
  </si>
  <si>
    <t>200</t>
  </si>
  <si>
    <t>Уплата налога на имущество организаций, земельного и транспортного налогов</t>
  </si>
  <si>
    <t>800</t>
  </si>
  <si>
    <t>700</t>
  </si>
  <si>
    <t>300</t>
  </si>
  <si>
    <t>Государственная программа Челябинской области «Дети Южного Урала» на 2014–2017 годы</t>
  </si>
  <si>
    <t>600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</si>
  <si>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</si>
  <si>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группа видов расходов</t>
  </si>
  <si>
    <t>Распределение бюджетных ассигнований по целевым статьям (государственным программам Челябинской области, муниципальным программам Чебаркульского городского округа и непрограммным направлениям деятельности), группам видов расходов, разделам и подразделам классификации расходов бюджетов на 2016 год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</si>
  <si>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</si>
  <si>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2016 год</t>
  </si>
  <si>
    <t>04 0 00 00000</t>
  </si>
  <si>
    <t>04 0 02 00000</t>
  </si>
  <si>
    <t>04 0 02 01900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</si>
  <si>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</si>
  <si>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Государственная программа Челябинской области «Развитие образования в Челябинской области» на 2014–2017 годы</t>
  </si>
  <si>
    <t>03 0 00 00000</t>
  </si>
  <si>
    <t>03 0 02 00000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</si>
  <si>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</si>
  <si>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</si>
  <si>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03 0 02 88900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</si>
  <si>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</si>
  <si>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03 0 02 48900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</si>
  <si>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(Социальное обеспечение и иные выплаты населению)</t>
  </si>
  <si>
    <t>04 0 02 04900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</si>
  <si>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(Социальное обеспечение и иные выплаты населению)</t>
  </si>
  <si>
    <t>99 0 00 00000</t>
  </si>
  <si>
    <t>Непрограммное направление деятельности</t>
  </si>
  <si>
    <t>Расходы общегосударственного характера</t>
  </si>
  <si>
    <t>99 0 04 00000</t>
  </si>
  <si>
    <t>99 0 04 20400</t>
  </si>
  <si>
    <t>99 0 04 20300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</si>
  <si>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</si>
  <si>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</si>
  <si>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</si>
  <si>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</si>
  <si>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07 0 00 00000</t>
  </si>
  <si>
    <t>07 0 02 00000</t>
  </si>
  <si>
    <t>07 0 02 22100</t>
  </si>
  <si>
    <t>99 0 04 21100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</si>
  <si>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</si>
  <si>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99 0 89 00000</t>
  </si>
  <si>
    <t>99 0 89 20400</t>
  </si>
  <si>
    <t>99 0 02 00000</t>
  </si>
  <si>
    <t>99 0 02 29700</t>
  </si>
  <si>
    <t>41 1 09 79533</t>
  </si>
  <si>
    <t>Подъемные выплаты вновь трудоустроенным специалистам с высшим медицинским образованием (Социальное обеспечение и иные выплаты населению)</t>
  </si>
  <si>
    <t>54 0 07 79575</t>
  </si>
  <si>
    <t>Мероприятия по разработке проекта планировки курорта Кисегач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</si>
  <si>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</si>
  <si>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99 0 02 29900</t>
  </si>
  <si>
    <t>03 0 02 25800</t>
  </si>
  <si>
    <t>Государственная программа Челябинской области «Управление государственными финансами и государственным долгом Челябинской области» на 2016 год</t>
  </si>
  <si>
    <t>Подпрограмма «Поддержка усилий органов местного самоуправления по обеспечению сбалансированности местных бюджетов Челябинской области»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</si>
  <si>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</si>
  <si>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10 0 00 00000</t>
  </si>
  <si>
    <t>10 5 00 00000</t>
  </si>
  <si>
    <t>10 5 01 00000</t>
  </si>
  <si>
    <t>10 5 01 71680</t>
  </si>
  <si>
    <t>Государственная программа Челябинской области «Развитие архивного дела в Челябинской области на 2016–2018 годы»</t>
  </si>
  <si>
    <t>Подпрограмма «Использование документов Архивного фонда Российской Федерации и других архивных документов, хранящихся в государственном и муниципальных архивах Челябинской области, в 2016-2018 годах»</t>
  </si>
  <si>
    <t>12 0 00 00000</t>
  </si>
  <si>
    <t>12 2 00 00000</t>
  </si>
  <si>
    <t>12 2 02 00000</t>
  </si>
  <si>
    <t>12 2 02 28600</t>
  </si>
  <si>
    <t>Комплектование, учет, использование и хранение архивных документов, отнесенных к государственной собственности Челябинской области (Закупка товаров, работ и услуг для государственных (муниципальных) нужд)</t>
  </si>
  <si>
    <t>99 0 02 51200</t>
  </si>
  <si>
    <t>50 0 00 00000</t>
  </si>
  <si>
    <t>50 0 10 00000</t>
  </si>
  <si>
    <t>50 0 10 79508</t>
  </si>
  <si>
    <t>99 0 02 59300</t>
  </si>
  <si>
    <t>99 0 04 34003</t>
  </si>
  <si>
    <t>Муниципальная программа "Развитие малого и среднего предпринимательства в Чебаркульском городском округе" на 2015 - 2017 годы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</si>
  <si>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</si>
  <si>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Проведение мероприятий  по теплоснабжению  (Закупка товаров, работ и услуг для государственных (муниципальных) нужд)</t>
  </si>
  <si>
    <t>49 0 00 00000</t>
  </si>
  <si>
    <t>49 0 55 00000</t>
  </si>
  <si>
    <t>49 0 55 79580</t>
  </si>
  <si>
    <t>Предоставление субсидий субъектам малого и среднего предпринимательства на возмещение части затрат, связанных с приобретением оборудования в целях создания и(или) развития либо модернизации производства товаров(работ, услуг) (Иные бюджетные ассигнования)</t>
  </si>
  <si>
    <t>48 0 00 00000</t>
  </si>
  <si>
    <t>Подпрограмма "Управление муниципальным долгом Чебаркульского городского округа"</t>
  </si>
  <si>
    <t>64 0 00 00000</t>
  </si>
  <si>
    <t>64 3 00 00000</t>
  </si>
  <si>
    <t>64 3 00 06500</t>
  </si>
  <si>
    <t>64 3 00 06503</t>
  </si>
  <si>
    <t>Процентные платежи по долговым обязательствам муниципального образования (Обслуживание государственного (муниципального) долга)</t>
  </si>
  <si>
    <t>99 0 04 22500</t>
  </si>
  <si>
    <t>Капитальные вложения в объекты государственной (муниципальной) собственности</t>
  </si>
  <si>
    <t>58 0 00 00000</t>
  </si>
  <si>
    <t>58 0 09 00000</t>
  </si>
  <si>
    <t>58 0 09 79514</t>
  </si>
  <si>
    <t>400</t>
  </si>
  <si>
    <t>Проведение мероприятий в рамках программы (Капитальные вложения в объекты недвижимого имущества государственной (муниципальной) собственности)</t>
  </si>
  <si>
    <t>Подпрограмма "Содержание и текущий ремонт объектов благоустройства"</t>
  </si>
  <si>
    <t>Финансовое обеспечение выполнения муниципального заказа</t>
  </si>
  <si>
    <t>63 0 00 00000</t>
  </si>
  <si>
    <t>63 1 00 00000</t>
  </si>
  <si>
    <t>63 1 11 00000</t>
  </si>
  <si>
    <t>Подпрограмма "Организация освещения улиц"</t>
  </si>
  <si>
    <t>63 2 00 00000</t>
  </si>
  <si>
    <t>63 2 11 00000</t>
  </si>
  <si>
    <t>63 2 11 79581</t>
  </si>
  <si>
    <t>Подпрограмма "Организация озеленения"</t>
  </si>
  <si>
    <t>63 3 00 00000</t>
  </si>
  <si>
    <t>63 3 11 00000</t>
  </si>
  <si>
    <t>63 3 11 79581</t>
  </si>
  <si>
    <t>Подпрограмма "Организация содержания мест захоронения"</t>
  </si>
  <si>
    <t>63 4 00 00000</t>
  </si>
  <si>
    <t>63 4 11 00000</t>
  </si>
  <si>
    <t>63 4 11 79581</t>
  </si>
  <si>
    <t>Подпрограмма "Прочие мероприятия по благоустройству городского округа"</t>
  </si>
  <si>
    <t>63 5 00 00000</t>
  </si>
  <si>
    <t>63 5 11 00000</t>
  </si>
  <si>
    <t>63 5 11 79581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</si>
  <si>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(Закупка товаров, работ и услуг для государственных (муниципальных) нужд)</t>
  </si>
  <si>
    <t>03 0 01 00000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</si>
  <si>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</si>
  <si>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</si>
  <si>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</si>
  <si>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14 2 00 00000</t>
  </si>
  <si>
    <t>14 2 01 00000</t>
  </si>
  <si>
    <t>14 2 01 00050</t>
  </si>
  <si>
    <t>Подпрограмма «Модернизация объектов коммунальной инфраструктуры"</t>
  </si>
  <si>
    <t>Субсидии местным бюджетам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 (строительство, реконструкция объектов коммунального хозяйства)(Закупка товаров, работ и услуг для государственных (муниципальных) нужд)</t>
  </si>
  <si>
    <t>14 4 01 R0200</t>
  </si>
  <si>
    <t>Государственная программа Челябинской области «Повышение эффективности реализации молодежной политики в Челябинской области» на 2015–2017 годы</t>
  </si>
  <si>
    <t>21 0 00 00000</t>
  </si>
  <si>
    <t>21 0 01 00000</t>
  </si>
  <si>
    <t>21 0 01 03300</t>
  </si>
  <si>
    <t>Организация отдыха детей в каникулярное время (Закупка товаров, работ и услуг для государственных (муниципальных) нужд)</t>
  </si>
  <si>
    <t>56 1 15 50200</t>
  </si>
  <si>
    <t>Субсидии бюджетам субъектов Российской Федерации и муниципальных образований в рамках федеральной  целевой программы  "Жилище" на 2011 - 2015 годы на подпрограмму "Обеспечение жильем молодых семей"(Социальное обеспечение и иные выплаты населению)</t>
  </si>
  <si>
    <t>56 1 15 R0200</t>
  </si>
  <si>
    <t>Проведение мероприятий в рамках календарного плана (Предоставление субсидий бюджетным, автономным учреждениям и иным некоммерческим организациям)</t>
  </si>
  <si>
    <t>Проведение мероприятий в рамках календарного плана (Социальное обеспечение и иные выплаты населению)</t>
  </si>
  <si>
    <t>99 0 89 45200</t>
  </si>
  <si>
    <t>44 0 00 00000</t>
  </si>
  <si>
    <t>44 0 07 00000</t>
  </si>
  <si>
    <t>44 0 07 79555</t>
  </si>
  <si>
    <t>Мероприятия по наказам избирателей (Закупка товаров, работ и услуг для государственных (муниципальных) нужд)</t>
  </si>
  <si>
    <t>Проведение мероприятий в рамках программы по благоустройству (Закупка товаров, работ и услуг для государственных (муниципальных) нужд)</t>
  </si>
  <si>
    <t>99 0 10 00000</t>
  </si>
  <si>
    <t>99 0 10 28200</t>
  </si>
  <si>
    <t>62 0 00 00000</t>
  </si>
  <si>
    <t>62 0 07 00000</t>
  </si>
  <si>
    <t>62 0 07 79545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</si>
  <si>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</si>
  <si>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Подпрограмма "Оказание молодым семьям государственной поддержки для улучшения жилищных условий"</t>
  </si>
  <si>
    <t>Социальные выплаты на улучшение жилищных условий гражданам</t>
  </si>
  <si>
    <t>56 0 00 00000</t>
  </si>
  <si>
    <t>56 1 00 00000</t>
  </si>
  <si>
    <t>56 1 15 00000</t>
  </si>
  <si>
    <t>56 1 15 79510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</si>
  <si>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 (Социальное обеспечение и иные выплаты населению)</t>
  </si>
  <si>
    <t>Субсидии бюджетным и автономным учреждения на иные цели</t>
  </si>
  <si>
    <t>47 0 00 00000</t>
  </si>
  <si>
    <t>47 1 10 42000</t>
  </si>
  <si>
    <t>47 1 20 00000</t>
  </si>
  <si>
    <t>47 1 20 79525</t>
  </si>
  <si>
    <t>Устройство игровых площадок (Предоставление субсидий бюджетным, автономным учреждениям и иным некоммерческим организациям)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</si>
  <si>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</si>
  <si>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(Предоставление субсидий бюджетным, автономным учреждениям и иным некоммерческим организациям)</t>
  </si>
  <si>
    <t>Подпрограмма "Предоставление дошкольного, начального общего, среднего общего образования и обеспечение дополнительного образования в муниципальных общеобразовательных организациях"</t>
  </si>
  <si>
    <t>46 0 00 00000</t>
  </si>
  <si>
    <t>46 1 00 00000</t>
  </si>
  <si>
    <t>46 1 10 00000</t>
  </si>
  <si>
    <t>46 1 10 42100</t>
  </si>
  <si>
    <t>Подпрограмма "Предоставление начального общего, основного общего образования и обеспечение дополнительного образования в муниципальных общеобразовательных организациях для обучающихся с ограниченными возможностями здоровья"</t>
  </si>
  <si>
    <t>46 2 00 00000</t>
  </si>
  <si>
    <t>Ежемесячная денежная выплата в соответствии с Законом Челябинской области «О звании «Ветеран труда Челябинской области» (Закупка товаров, работ и услуг для государственных (муниципальных) нужд)</t>
  </si>
  <si>
    <t>Комплектование книжных фондов библиотек муниципальных образований и государственных библиотек городов Москвы и Санкт-Петербурга  (Закупка товаров, работ и услуг для государственных (муниципальных) нужд)</t>
  </si>
  <si>
    <t>46 1 10 S5500</t>
  </si>
  <si>
    <t>46 5 20 S4400</t>
  </si>
  <si>
    <t>47 1 20 S1100</t>
  </si>
  <si>
    <t>45 0 00 00000</t>
  </si>
  <si>
    <t>45 0 56 00000</t>
  </si>
  <si>
    <t>45 0 56 79542</t>
  </si>
  <si>
    <t>14</t>
  </si>
  <si>
    <t>Обеспечение общественного правопорядка при проведении мероприятий с массовым пребыванием граждан  (Предоставление субсидий бюджетным, автономным учреждениям и иным некоммерческим организациям)</t>
  </si>
  <si>
    <t>54 0 00 00000</t>
  </si>
  <si>
    <t>54 0 07 00000</t>
  </si>
  <si>
    <t>46 5 20 79522</t>
  </si>
  <si>
    <t>Организация отдыха детей в каникулярное время (Предоставление субсидий бюджетным, автономным учреждениям и иным некоммерческим организациям)</t>
  </si>
  <si>
    <t>Ревакцинация детей школьного возраста против клещевого энцифалита (Предоставление субсидий бюджетным, автономным учреждениям и иным некоммерческим организациям)</t>
  </si>
  <si>
    <t>Подпрограмма "Модернизация объектов коммунальной инфраструктуры"</t>
  </si>
  <si>
    <t>56 2 00 00000</t>
  </si>
  <si>
    <t>56 2 09 00000</t>
  </si>
  <si>
    <t>56 2 09 79518</t>
  </si>
  <si>
    <t>Капитальные вложения в объекты недвижимого имущества государственной (муниципальной) собственности</t>
  </si>
  <si>
    <t>59 0 00 00000</t>
  </si>
  <si>
    <t>59 0 09 00000</t>
  </si>
  <si>
    <t>Проведение мероприятий  по теплоснабжению  (Капитальные вложения в объекты недвижимого имущества государственной (муниципальной) собственности)</t>
  </si>
  <si>
    <t>46 2 10 00000</t>
  </si>
  <si>
    <t>46 2 10 43300</t>
  </si>
  <si>
    <t>Подпрограмма "Предоставление дополнительного образования в образовательных организациях дополнительного образования детей"</t>
  </si>
  <si>
    <t>46 3 00 00000</t>
  </si>
  <si>
    <t>46 3 10 00000</t>
  </si>
  <si>
    <t>46 3 10 42300</t>
  </si>
  <si>
    <t>Подпрограмма "Модернизация образования в Чебаркульском городском округе"</t>
  </si>
  <si>
    <t>46 4 00 00000</t>
  </si>
  <si>
    <t>46 4 20 00000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</si>
  <si>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</si>
  <si>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гражданам субсидий на оплату жилого помещения и коммунальных услуг(Закупка товаров, работ и услуг для государственных (муниципальных) нужд)</t>
  </si>
  <si>
    <t>46 6 00 00000</t>
  </si>
  <si>
    <t>46 6 20 00000</t>
  </si>
  <si>
    <t>46 4 20 79521</t>
  </si>
  <si>
    <t>Подпрограмма "Формирование здоровьесберегающих и безопасных условий организации образовательного процесса"</t>
  </si>
  <si>
    <t>46 6 20 79523</t>
  </si>
  <si>
    <t>99 0 99 45200</t>
  </si>
  <si>
    <t>03 0 02 03900</t>
  </si>
  <si>
    <t>Подпрограмма "Обучение учащихся с учетом требований государственных образовательных стандартов дополнительного образования"</t>
  </si>
  <si>
    <t>65 0 00 00000</t>
  </si>
  <si>
    <t>65 1 00 00000</t>
  </si>
  <si>
    <t>65 1 10 00000</t>
  </si>
  <si>
    <t>65 1 10 42300</t>
  </si>
  <si>
    <t>Государственная программа Челябинской области «Развитие культуры и туризма в Челябинской области на 2015–2017 годы»</t>
  </si>
  <si>
    <t>Подпрограмма «Сохранение и развитие культурно-досуговой сферы на 2015-2017 годы»</t>
  </si>
  <si>
    <t xml:space="preserve">Иные межбюджетные трансферты </t>
  </si>
  <si>
    <t>38 0 00 00000</t>
  </si>
  <si>
    <t>38 1 00 00000</t>
  </si>
  <si>
    <t>38 1 03 00000</t>
  </si>
  <si>
    <t>38 1 03 51440</t>
  </si>
  <si>
    <t>Подпрограмма "Организация кинообслуживания населения"</t>
  </si>
  <si>
    <t>65 2 00 00000</t>
  </si>
  <si>
    <t>65 2 10 00000</t>
  </si>
  <si>
    <t>65 2 10 44000</t>
  </si>
  <si>
    <t>Подпрограмма "Развитие творческих коллективоов, обеспечение творческой деятельности граждан через клубные формирования, проведение мероприятий, фестивалей и конкурсов</t>
  </si>
  <si>
    <t>65 3 00 00000</t>
  </si>
  <si>
    <t>65 3 10 00000</t>
  </si>
  <si>
    <t>65 3 10 44000</t>
  </si>
  <si>
    <t>Подпрограмма "Организация, создание и проведение выставок"</t>
  </si>
  <si>
    <t>65 4 00 00000</t>
  </si>
  <si>
    <t>65 4 10 00000</t>
  </si>
  <si>
    <t>65 4 10 44000</t>
  </si>
  <si>
    <t>Подпрограмма "Совершенствование музейного дела, сохранение исторического культурного наследия"</t>
  </si>
  <si>
    <t>65 5 00 00000</t>
  </si>
  <si>
    <t>65 5 89 00000</t>
  </si>
  <si>
    <t>65 5 89 44100</t>
  </si>
  <si>
    <t>65 5 99 00000</t>
  </si>
  <si>
    <t>65 5 99 44100</t>
  </si>
  <si>
    <t>Подпрограмма "Обеспечение доступности информационных ресурсов населению города через библиотечное обслуживание"</t>
  </si>
  <si>
    <t>65 6 00 00000</t>
  </si>
  <si>
    <t>65 6 89 00000</t>
  </si>
  <si>
    <t>65 6 89 44200</t>
  </si>
  <si>
    <t>65 6 99 00000</t>
  </si>
  <si>
    <t>65 6 99 44200</t>
  </si>
  <si>
    <t>Подпрограмма "Организация культурно-досуговых мероприятий, организованных органами местного самоуправления городского округа</t>
  </si>
  <si>
    <t>65 7 00 00000</t>
  </si>
  <si>
    <t>65 7 07 00000</t>
  </si>
  <si>
    <t>65 7 07 45000</t>
  </si>
  <si>
    <t>Подпрограмма "Предоставление общедоступного бесплатного дополнительного образования детей дошкольного, школьного возраста и учащейся молодежи"</t>
  </si>
  <si>
    <t>43 0 00 00000</t>
  </si>
  <si>
    <t>43 1 00 00000</t>
  </si>
  <si>
    <t>43 1 10 00000</t>
  </si>
  <si>
    <t>43 1 10 42300</t>
  </si>
  <si>
    <t>43 2 00 00000</t>
  </si>
  <si>
    <t>43 2 10 00000</t>
  </si>
  <si>
    <t>43 2 10 48200</t>
  </si>
  <si>
    <t>03 0 01 04400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</si>
  <si>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</si>
  <si>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03 0 01 05500</t>
  </si>
  <si>
    <t>Проведение мероприятий "Будущее Чебаркуля" (Закупка товаров, работ и услуг для государственных (муниципальных) нужд)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</si>
  <si>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 (Социальное обеспечение и иные выплаты населению)</t>
  </si>
  <si>
    <t>04 0 01 09900</t>
  </si>
  <si>
    <t>Компенсация части родительской платы на детей из малообеспеченных, неблагополучных семей, а также семей, оказавшихся в трудной жизненной ситуации (Социальное обеспечение и иные выплаты населению)</t>
  </si>
  <si>
    <t>50 0 20 79508</t>
  </si>
  <si>
    <t>50 0 20 00000</t>
  </si>
  <si>
    <t>65 1 20 00000</t>
  </si>
  <si>
    <t>65 1 20 42300</t>
  </si>
  <si>
    <t>06 0 02 21900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</si>
  <si>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 (Социальное обеспечение и иные выплаты населению)</t>
  </si>
  <si>
    <t>06 0 02 52800</t>
  </si>
  <si>
    <t>Компенсация отдельным категориям граждан оплаты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за счет иных межбюджетных трансфертов из федерального бюджета  (Социальное обеспечение и иные выплаты населению)</t>
  </si>
  <si>
    <t>06 0 02 54620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</si>
  <si>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(Закупка товаров, работ и услуг для государственных (муниципальных) нужд)</t>
  </si>
  <si>
    <t>06 0 02 76000</t>
  </si>
  <si>
    <t xml:space="preserve"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(Социальное обеспечение и иные выплаты населению) </t>
  </si>
  <si>
    <t>Организация и проведение мероприятий с детьми и молодежью (Предоставление субсидий бюджетным, автономным учреждениям и иным некоммерческим организациям)</t>
  </si>
  <si>
    <t>Государственная программа Челябинской области «Экономическое развитие и инновационная экономика Челябинской области» на 2016–2018 годы</t>
  </si>
  <si>
    <t>27 0 00 00000</t>
  </si>
  <si>
    <t>Подпрограмма «Поддержка и развитие малого и среднего предпринимательства в Челябинской области на 2016–2018 годы»</t>
  </si>
  <si>
    <t>27 1 00 00000</t>
  </si>
  <si>
    <t>27 1 01 00000</t>
  </si>
  <si>
    <t>Государственная поддержка малого и среднего предпринимательства, включая крестьянские (фермерские) хозяйства (Предоставление субсидий бюджетным, автономным учреждениям и иным некоммерческим организациям)</t>
  </si>
  <si>
    <t>27 1 01 50640</t>
  </si>
  <si>
    <t>Реализация мероприятий в сфере культуры и кинематографии (Предоставление субсидий бюджетным, автономным учреждениям и иным некоммерческим организациям)</t>
  </si>
  <si>
    <t>38 1 03 61400</t>
  </si>
  <si>
    <t>Субсидии местным бюджетам на разработку проектно-сметной документации сетей инженерно-технического обеспечения туристического кластера "Синегорье" (Закупка товаров, работ и услуг для государственных (муниципальных) нужд)</t>
  </si>
  <si>
    <t>42 0 07 01220</t>
  </si>
  <si>
    <t>Проведение государственной экспертизы проектно-сметной документации сетей инженерно-технического обеспечения туристического кластера "Синегорье" (Закупка товаров, работ и услуг для государственных (муниципальных) нужд)</t>
  </si>
  <si>
    <t>42 0 07 S1220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</si>
  <si>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 (Предоставление субсидий бюджетным, автономным учреждениям и иным некоммерческим организациям)</t>
  </si>
  <si>
    <t>Проведение мероприятий по модернизации (Социальное обеспечение и иные выплаты населению)</t>
  </si>
  <si>
    <t>Проведение мероприятий по модернизации (Закупка товаров, работ и услуг для государственных (муниципальных) нужд)</t>
  </si>
  <si>
    <t>47 1 20 79523</t>
  </si>
  <si>
    <t>Мероприятия по газификации (Капитальные вложения в объекты государственной (муниципальной) собственности)</t>
  </si>
  <si>
    <t>65 2 20 00000</t>
  </si>
  <si>
    <t>65 2 20 44000</t>
  </si>
  <si>
    <t>65 3 20 00000</t>
  </si>
  <si>
    <t>65 3 20 44000</t>
  </si>
  <si>
    <t>65 4 20 00000</t>
  </si>
  <si>
    <t>65 4 20 44000</t>
  </si>
  <si>
    <t xml:space="preserve">600 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</si>
  <si>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</si>
  <si>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</si>
  <si>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(Закупка товаров, работ и услуг для государственных (муниципальных) нужд)</t>
  </si>
  <si>
    <t>Проведение Всероссийской сельскохозяйственной переписи (Закупка товаров, работ и услуг для государственных (муниципальных) нужд)</t>
  </si>
  <si>
    <t>Подпрограмма "Обеспечение содержания спортивных сооружений для занятий физической культурой, спортом и отдыхом населения города Чебаркуля и организация проведения спортивно-массовых мероприятий и соревнований"</t>
  </si>
  <si>
    <t>43 2 20 48200</t>
  </si>
  <si>
    <t>43 3 00 00000</t>
  </si>
  <si>
    <t>43 3 00 79550</t>
  </si>
  <si>
    <t>Подпрограмма "Проведение спортивных мероприятий"</t>
  </si>
  <si>
    <t>43 2 20 00000</t>
  </si>
  <si>
    <t>43 3 00 79551</t>
  </si>
  <si>
    <t>43 4 00 00000</t>
  </si>
  <si>
    <t>43 4 20 00000</t>
  </si>
  <si>
    <t>43 4 20 48200</t>
  </si>
  <si>
    <t>Подпрограмма "Софинансирование субсидии 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организациях"</t>
  </si>
  <si>
    <t>43 5 00 00000</t>
  </si>
  <si>
    <t>Государственная программа Челябинской области «Повышение качества жизни граждан пожилого возраста и иных категорий граждан в Челябинской области» на 2014–2017 годы</t>
  </si>
  <si>
    <t>06 0 00 00000</t>
  </si>
  <si>
    <t>06 0 02 00000</t>
  </si>
  <si>
    <t>06 0 02 21100</t>
  </si>
  <si>
    <t>06 0 02 21200</t>
  </si>
  <si>
    <t>06 0 02 21300</t>
  </si>
  <si>
    <t>06 0 02 21400</t>
  </si>
  <si>
    <t>06 0 02 21700</t>
  </si>
  <si>
    <t>07 0 02 22400</t>
  </si>
  <si>
    <t>07 0 02 22500</t>
  </si>
  <si>
    <t>07 0 02 22700</t>
  </si>
  <si>
    <t>07 0 02 53800</t>
  </si>
  <si>
    <t>Подпрограмма "Выплата пенсии за выслугу лет лицам, замещавшим должности муниципальной службы"</t>
  </si>
  <si>
    <t>Выполнение публичных обязательств перед физическим лицом, подлежащих исполнению в денежной форме</t>
  </si>
  <si>
    <t>53 0 00 00000</t>
  </si>
  <si>
    <t>53 1 00 00000</t>
  </si>
  <si>
    <t>53 1 95 00000</t>
  </si>
  <si>
    <t>53 1 95 49127</t>
  </si>
  <si>
    <t>07 0 02 22300</t>
  </si>
  <si>
    <t>07 0 02 22600</t>
  </si>
  <si>
    <t>07 0 02 22900</t>
  </si>
  <si>
    <t>Социальная поддержка отдельных категорий граждан</t>
  </si>
  <si>
    <t>Муниципальная программа "Социально-экономическая поддержка семей и детей группы риска" на 2015 - 2017 годы</t>
  </si>
  <si>
    <t>52 0 00 00000</t>
  </si>
  <si>
    <t>52 0 16 00000</t>
  </si>
  <si>
    <t>52 0 16 79570</t>
  </si>
  <si>
    <t>Подпрограмма "Предоставление мер социальной поддержки Почетных граждан Чебаркульского городского округа"</t>
  </si>
  <si>
    <t>53 2 00 00000</t>
  </si>
  <si>
    <t>53 2 16 00000</t>
  </si>
  <si>
    <t>53 2 16 79501</t>
  </si>
  <si>
    <t xml:space="preserve"> Подпрограмма "Оказание материальной помощи гражданам, оказавшимся в трудной жизненной ситуации"</t>
  </si>
  <si>
    <t>53 3 00 00000</t>
  </si>
  <si>
    <t>53 3 16 00000</t>
  </si>
  <si>
    <t>53 3 16 79502</t>
  </si>
  <si>
    <t>53 3 16 79503</t>
  </si>
  <si>
    <t>Субсидии некоммерческим организациям (за исключением государственных(муниципальных) учреждений)</t>
  </si>
  <si>
    <t>53 4 00 00000</t>
  </si>
  <si>
    <t>53 4 56 00000</t>
  </si>
  <si>
    <t>53 4 56 79507</t>
  </si>
  <si>
    <t>99 0 01 14600</t>
  </si>
  <si>
    <t>99 0 01 00000</t>
  </si>
  <si>
    <t>99 0 04 90020</t>
  </si>
  <si>
    <t>Муниципальная программа "Медицинские кадры на территории Чебаркульского городского округа" на 2016 год</t>
  </si>
  <si>
    <t>Создание благоприятных условий в целях привлечения и закрепления медицинских работников для работы в учреждении здравоохранения МБЛПУ "Чебаркульская городская больница"</t>
  </si>
  <si>
    <t>Реализация иных государственных функций в области социальной сферы</t>
  </si>
  <si>
    <t>41 0 00 00000</t>
  </si>
  <si>
    <t>41 1 00 00000</t>
  </si>
  <si>
    <t>41 1 09 00000</t>
  </si>
  <si>
    <t>41 1 09 79532</t>
  </si>
  <si>
    <t>07 0 02 22200</t>
  </si>
  <si>
    <t>99 0 04 07005</t>
  </si>
  <si>
    <t>46 5 00 00000</t>
  </si>
  <si>
    <t>46 5 20 00000</t>
  </si>
  <si>
    <t>Организация работы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</si>
  <si>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</si>
  <si>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осуществление деятельности по опеке и попечительству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</si>
  <si>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</si>
  <si>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</si>
  <si>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</si>
  <si>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Музеи и постоянные выставки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</si>
  <si>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"Субсидия на содержание центров тестирования Всероссийского физкультурно-спортивного комплекса "Готов к труду и обороне"</t>
  </si>
  <si>
    <t>53 4 16 00000</t>
  </si>
  <si>
    <t>53 4 16 79505</t>
  </si>
  <si>
    <t>53 4 16 79506</t>
  </si>
  <si>
    <t>Проведение городских мероприятий (Закупка товаров, работ и услуг для государственных (муниципальных) нужд)</t>
  </si>
  <si>
    <t>Подпрограмма "Организация и проведение социальных городских мероприятий"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</si>
  <si>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</si>
  <si>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48 0 07 00000</t>
  </si>
  <si>
    <t>Государственная программа Челябинской области «Развитие дорожного хозяйства в Челябинской области на 2015–2022 годы»</t>
  </si>
  <si>
    <t>18 0 00 00000</t>
  </si>
  <si>
    <t>18 0 01 00000</t>
  </si>
  <si>
    <t>18 0 01 00160</t>
  </si>
  <si>
    <t>Капитальный ремонт, ремонт и содержание автомобильных дорог общего пользования местного значения(Закупка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</si>
  <si>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</si>
  <si>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</si>
  <si>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</si>
  <si>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Поисковые и аварийно-спасательные учреждения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</si>
  <si>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"Исполнение мероприятий по наказам избирателей Чебаркульского городского округа" на 2016 год</t>
  </si>
  <si>
    <t>Муниципальная программа "Развитие туризма в муниципальном образовании "Чебаркульский городской округ" на 2016 год</t>
  </si>
  <si>
    <t>Муниципальная программа "Развитие физической культуры и спорта в муниципальном образовании "Чебаркульский городской округ" на 2016 год</t>
  </si>
  <si>
    <t>Муниципальная программа "Профилактика преступлений и иных правонарушений на территории Чебаркульского городского округа" на 2015 - 2016 годы</t>
  </si>
  <si>
    <t>Муниципальная программа "Развитие образования в Чебаркульском городском округе" на 2016 - 2018 годы</t>
  </si>
  <si>
    <t>Муниципальная программа "Молодежь Чебаркуля" на 2016 год</t>
  </si>
  <si>
    <t>Муниципальная программа "Предоставление государственных и муниципальных услуг на территории Чебаркульского городского округа на 2016 год</t>
  </si>
  <si>
    <t>Муниципальная программа "О социальной поддержке населения муниципального образования "Чебаркульский городской округ" на 2015 - 2017 годы</t>
  </si>
  <si>
    <t>Муниципальная программа "Подготовка проектов планировки территорий Чебаркульского городского округа" на 2015 - 2017 годы</t>
  </si>
  <si>
    <t>Муниципальная программа "Чистая вода" в МО "Чебаркульский городской округ" на 2014 - 2020 годы</t>
  </si>
  <si>
    <t>Приложение 1
к решению Собрания депутатов 
Чебаркульского городского округа 
от 29.12.2016 № 249
Приложение 4
к решению Собрания депутатов 
Чебаркульского городского округа 
от 23.12.2015 г. № 42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</si>
</sst>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b/>
      <sz val="8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7" fillId="0" borderId="11" xfId="0" applyNumberFormat="1" applyFont="1" applyBorder="1" applyAlignment="1">
      <alignment/>
    </xf>
    <xf numFmtId="49" fontId="3" fillId="33" borderId="11" xfId="0" applyNumberFormat="1" applyFont="1" applyFill="1" applyBorder="1" applyAlignment="1">
      <alignment/>
    </xf>
    <xf numFmtId="49" fontId="3" fillId="33" borderId="11" xfId="52" applyNumberFormat="1" applyFont="1" applyFill="1" applyBorder="1" applyAlignment="1">
      <alignment horizontal="left" vertical="center" wrapText="1"/>
      <protection/>
    </xf>
    <xf numFmtId="0" fontId="3" fillId="33" borderId="11" xfId="0" applyFont="1" applyFill="1" applyBorder="1" applyAlignment="1">
      <alignment wrapText="1"/>
    </xf>
    <xf numFmtId="49" fontId="3" fillId="33" borderId="11" xfId="0" applyNumberFormat="1" applyFont="1" applyFill="1" applyBorder="1" applyAlignment="1">
      <alignment horizontal="left" vertical="center" wrapText="1"/>
    </xf>
    <xf numFmtId="4" fontId="0" fillId="33" borderId="0" xfId="0" applyNumberFormat="1" applyFill="1" applyAlignment="1">
      <alignment/>
    </xf>
    <xf numFmtId="4" fontId="4" fillId="33" borderId="0" xfId="0" applyNumberFormat="1" applyFont="1" applyFill="1" applyAlignment="1">
      <alignment/>
    </xf>
    <xf numFmtId="0" fontId="3" fillId="33" borderId="11" xfId="0" applyNumberFormat="1" applyFont="1" applyFill="1" applyBorder="1" applyAlignment="1">
      <alignment horizontal="left" vertical="center" wrapText="1"/>
    </xf>
    <xf numFmtId="0" fontId="3" fillId="33" borderId="11" xfId="52" applyNumberFormat="1" applyFont="1" applyFill="1" applyBorder="1" applyAlignment="1">
      <alignment horizontal="left" vertical="center" wrapText="1"/>
      <protection/>
    </xf>
    <xf numFmtId="49" fontId="12" fillId="33" borderId="10" xfId="0" applyNumberFormat="1" applyFont="1" applyFill="1" applyBorder="1" applyAlignment="1">
      <alignment/>
    </xf>
    <xf numFmtId="49" fontId="12" fillId="33" borderId="11" xfId="52" applyNumberFormat="1" applyFont="1" applyFill="1" applyBorder="1" applyAlignment="1">
      <alignment horizontal="left" vertical="center" wrapText="1"/>
      <protection/>
    </xf>
    <xf numFmtId="0" fontId="6" fillId="0" borderId="11" xfId="0" applyFont="1" applyBorder="1" applyAlignment="1">
      <alignment wrapText="1"/>
    </xf>
    <xf numFmtId="0" fontId="12" fillId="33" borderId="11" xfId="0" applyNumberFormat="1" applyFont="1" applyFill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  <xf numFmtId="49" fontId="12" fillId="33" borderId="11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49" fontId="3" fillId="0" borderId="11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49" fontId="3" fillId="33" borderId="11" xfId="0" applyNumberFormat="1" applyFont="1" applyFill="1" applyBorder="1" applyAlignment="1">
      <alignment wrapText="1"/>
    </xf>
    <xf numFmtId="49" fontId="3" fillId="33" borderId="11" xfId="52" applyNumberFormat="1" applyFont="1" applyFill="1" applyBorder="1" applyAlignment="1">
      <alignment horizontal="left" vertical="center" wrapText="1"/>
      <protection/>
    </xf>
    <xf numFmtId="49" fontId="12" fillId="33" borderId="11" xfId="52" applyNumberFormat="1" applyFont="1" applyFill="1" applyBorder="1" applyAlignment="1">
      <alignment horizontal="left" vertical="center" wrapText="1"/>
      <protection/>
    </xf>
    <xf numFmtId="49" fontId="12" fillId="33" borderId="11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6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textRotation="90" wrapText="1" readingOrder="2"/>
    </xf>
    <xf numFmtId="49" fontId="0" fillId="0" borderId="13" xfId="0" applyNumberFormat="1" applyFont="1" applyBorder="1" applyAlignment="1">
      <alignment horizontal="left" vertical="center" textRotation="90" wrapText="1" readingOrder="2"/>
    </xf>
    <xf numFmtId="49" fontId="0" fillId="0" borderId="13" xfId="0" applyNumberFormat="1" applyFont="1" applyBorder="1" applyAlignment="1">
      <alignment horizontal="center" textRotation="90" readingOrder="2"/>
    </xf>
    <xf numFmtId="49" fontId="3" fillId="33" borderId="11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wrapText="1"/>
    </xf>
    <xf numFmtId="49" fontId="12" fillId="0" borderId="11" xfId="0" applyNumberFormat="1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/>
    </xf>
    <xf numFmtId="0" fontId="6" fillId="0" borderId="11" xfId="0" applyNumberFormat="1" applyFont="1" applyBorder="1" applyAlignment="1">
      <alignment wrapText="1"/>
    </xf>
    <xf numFmtId="49" fontId="0" fillId="33" borderId="13" xfId="0" applyNumberForma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15" fillId="33" borderId="10" xfId="0" applyNumberFormat="1" applyFont="1" applyFill="1" applyBorder="1" applyAlignment="1">
      <alignment/>
    </xf>
    <xf numFmtId="49" fontId="3" fillId="33" borderId="10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49" fontId="3" fillId="33" borderId="15" xfId="0" applyNumberFormat="1" applyFont="1" applyFill="1" applyBorder="1" applyAlignment="1">
      <alignment/>
    </xf>
    <xf numFmtId="4" fontId="9" fillId="33" borderId="15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16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179</xdr:row>
      <xdr:rowOff>0</xdr:rowOff>
    </xdr:from>
    <xdr:to>
      <xdr:col>0</xdr:col>
      <xdr:colOff>219075</xdr:colOff>
      <xdr:row>179</xdr:row>
      <xdr:rowOff>266700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571225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219075</xdr:colOff>
      <xdr:row>181</xdr:row>
      <xdr:rowOff>190500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07605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219075</xdr:colOff>
      <xdr:row>186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9048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219075</xdr:colOff>
      <xdr:row>187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2668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4"/>
  <sheetViews>
    <sheetView tabSelected="1" zoomScale="110" zoomScaleNormal="110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65.625" style="0" customWidth="1"/>
    <col min="2" max="2" width="9.875" style="0" customWidth="1"/>
    <col min="3" max="3" width="5.00390625" style="0" customWidth="1"/>
    <col min="4" max="4" width="4.00390625" style="0" customWidth="1"/>
    <col min="5" max="5" width="4.125" style="0" customWidth="1"/>
    <col min="6" max="6" width="12.75390625" style="3" customWidth="1"/>
    <col min="7" max="7" width="13.875" style="0" bestFit="1" customWidth="1"/>
    <col min="8" max="9" width="13.75390625" style="0" bestFit="1" customWidth="1"/>
  </cols>
  <sheetData>
    <row r="1" spans="2:6" ht="121.5" customHeight="1">
      <c r="B1" s="52" t="s">
        <v>601</v>
      </c>
      <c r="C1" s="52"/>
      <c r="D1" s="52"/>
      <c r="E1" s="52"/>
      <c r="F1" s="52"/>
    </row>
    <row r="2" spans="1:6" ht="69" customHeight="1">
      <c r="A2" s="51" t="s">
        <v>203</v>
      </c>
      <c r="B2" s="51"/>
      <c r="C2" s="51"/>
      <c r="D2" s="51"/>
      <c r="E2" s="51"/>
      <c r="F2" s="51"/>
    </row>
    <row r="3" spans="1:6" ht="15" customHeight="1" thickBot="1">
      <c r="A3" s="50" t="s">
        <v>189</v>
      </c>
      <c r="B3" s="50"/>
      <c r="C3" s="50"/>
      <c r="D3" s="50"/>
      <c r="E3" s="50"/>
      <c r="F3" s="50"/>
    </row>
    <row r="4" spans="1:6" ht="78" customHeight="1">
      <c r="A4" s="32" t="s">
        <v>171</v>
      </c>
      <c r="B4" s="33" t="s">
        <v>174</v>
      </c>
      <c r="C4" s="34" t="s">
        <v>202</v>
      </c>
      <c r="D4" s="35" t="s">
        <v>172</v>
      </c>
      <c r="E4" s="35" t="s">
        <v>173</v>
      </c>
      <c r="F4" s="41" t="s">
        <v>205</v>
      </c>
    </row>
    <row r="5" spans="1:7" s="2" customFormat="1" ht="12.75">
      <c r="A5" s="6" t="s">
        <v>175</v>
      </c>
      <c r="B5" s="1"/>
      <c r="C5" s="1"/>
      <c r="D5" s="1"/>
      <c r="E5" s="1"/>
      <c r="F5" s="42">
        <f>F6+F17+F24+F55+F74+F81+F85+F96+F110+F120+F126+F150+F153+F179+F188+F191+F194+F199+F203+F220+F223+F239+F242+F245+F248+F251+F267+F271+F309+F316+F320+F115+F147+F103+F93+F106</f>
        <v>957862140.04</v>
      </c>
      <c r="G5" s="39"/>
    </row>
    <row r="6" spans="1:6" s="3" customFormat="1" ht="25.5">
      <c r="A6" s="18" t="s">
        <v>210</v>
      </c>
      <c r="B6" s="15" t="s">
        <v>211</v>
      </c>
      <c r="C6" s="15"/>
      <c r="D6" s="15"/>
      <c r="E6" s="15"/>
      <c r="F6" s="43">
        <f>F10+F7</f>
        <v>181662660</v>
      </c>
    </row>
    <row r="7" spans="1:6" s="21" customFormat="1" ht="25.5">
      <c r="A7" s="8" t="s">
        <v>249</v>
      </c>
      <c r="B7" s="4" t="s">
        <v>310</v>
      </c>
      <c r="C7" s="4"/>
      <c r="D7" s="4"/>
      <c r="E7" s="4"/>
      <c r="F7" s="44">
        <f>SUM(F8:F9)</f>
        <v>7296180</v>
      </c>
    </row>
    <row r="8" spans="1:6" s="3" customFormat="1" ht="25.5">
      <c r="A8" s="17" t="s">
        <v>377</v>
      </c>
      <c r="B8" s="4" t="s">
        <v>453</v>
      </c>
      <c r="C8" s="4" t="s">
        <v>200</v>
      </c>
      <c r="D8" s="4" t="s">
        <v>185</v>
      </c>
      <c r="E8" s="4" t="s">
        <v>185</v>
      </c>
      <c r="F8" s="44">
        <v>6732260</v>
      </c>
    </row>
    <row r="9" spans="1:6" s="3" customFormat="1" ht="36" customHeight="1">
      <c r="A9" s="13" t="s">
        <v>454</v>
      </c>
      <c r="B9" s="4" t="s">
        <v>455</v>
      </c>
      <c r="C9" s="4" t="s">
        <v>200</v>
      </c>
      <c r="D9" s="4" t="s">
        <v>185</v>
      </c>
      <c r="E9" s="4" t="s">
        <v>178</v>
      </c>
      <c r="F9" s="44">
        <v>563920</v>
      </c>
    </row>
    <row r="10" spans="1:8" s="3" customFormat="1" ht="51">
      <c r="A10" s="13" t="s">
        <v>204</v>
      </c>
      <c r="B10" s="4" t="s">
        <v>212</v>
      </c>
      <c r="C10" s="4"/>
      <c r="D10" s="4"/>
      <c r="E10" s="4"/>
      <c r="F10" s="44">
        <f>SUM(F11:F16)</f>
        <v>174366480</v>
      </c>
      <c r="H10" s="11"/>
    </row>
    <row r="11" spans="1:9" s="3" customFormat="1" ht="38.25">
      <c r="A11" s="13" t="s">
        <v>218</v>
      </c>
      <c r="B11" s="4" t="s">
        <v>404</v>
      </c>
      <c r="C11" s="4" t="s">
        <v>198</v>
      </c>
      <c r="D11" s="4" t="s">
        <v>183</v>
      </c>
      <c r="E11" s="4" t="s">
        <v>179</v>
      </c>
      <c r="F11" s="44">
        <v>1669600</v>
      </c>
      <c r="I11" s="11"/>
    </row>
    <row r="12" spans="1:6" s="3" customFormat="1" ht="45.75" customHeight="1">
      <c r="A12" s="14" t="s">
        <v>567</v>
      </c>
      <c r="B12" s="4" t="s">
        <v>246</v>
      </c>
      <c r="C12" s="4" t="s">
        <v>193</v>
      </c>
      <c r="D12" s="4" t="s">
        <v>176</v>
      </c>
      <c r="E12" s="4" t="s">
        <v>179</v>
      </c>
      <c r="F12" s="44">
        <v>413469.66</v>
      </c>
    </row>
    <row r="13" spans="1:6" s="3" customFormat="1" ht="25.5">
      <c r="A13" s="14" t="s">
        <v>167</v>
      </c>
      <c r="B13" s="4" t="s">
        <v>246</v>
      </c>
      <c r="C13" s="4" t="s">
        <v>194</v>
      </c>
      <c r="D13" s="4" t="s">
        <v>176</v>
      </c>
      <c r="E13" s="4" t="s">
        <v>179</v>
      </c>
      <c r="F13" s="44">
        <v>24830.34</v>
      </c>
    </row>
    <row r="14" spans="1:9" s="3" customFormat="1" ht="51">
      <c r="A14" s="13" t="s">
        <v>18</v>
      </c>
      <c r="B14" s="4" t="s">
        <v>217</v>
      </c>
      <c r="C14" s="4" t="s">
        <v>200</v>
      </c>
      <c r="D14" s="4" t="s">
        <v>185</v>
      </c>
      <c r="E14" s="4" t="s">
        <v>181</v>
      </c>
      <c r="F14" s="44">
        <v>42810</v>
      </c>
      <c r="I14" s="11"/>
    </row>
    <row r="15" spans="1:6" s="3" customFormat="1" ht="63.75">
      <c r="A15" s="13" t="s">
        <v>214</v>
      </c>
      <c r="B15" s="4" t="s">
        <v>213</v>
      </c>
      <c r="C15" s="4" t="s">
        <v>200</v>
      </c>
      <c r="D15" s="4" t="s">
        <v>185</v>
      </c>
      <c r="E15" s="4" t="s">
        <v>178</v>
      </c>
      <c r="F15" s="44">
        <v>16240100</v>
      </c>
    </row>
    <row r="16" spans="1:6" s="3" customFormat="1" ht="63.75">
      <c r="A16" s="13" t="s">
        <v>216</v>
      </c>
      <c r="B16" s="4" t="s">
        <v>215</v>
      </c>
      <c r="C16" s="4" t="s">
        <v>200</v>
      </c>
      <c r="D16" s="4" t="s">
        <v>185</v>
      </c>
      <c r="E16" s="4" t="s">
        <v>178</v>
      </c>
      <c r="F16" s="44">
        <v>155975670</v>
      </c>
    </row>
    <row r="17" spans="1:6" s="3" customFormat="1" ht="25.5">
      <c r="A17" s="19" t="s">
        <v>201</v>
      </c>
      <c r="B17" s="15" t="s">
        <v>206</v>
      </c>
      <c r="C17" s="15"/>
      <c r="D17" s="15"/>
      <c r="E17" s="15"/>
      <c r="F17" s="43">
        <f>F21+F18</f>
        <v>142112750</v>
      </c>
    </row>
    <row r="18" spans="1:6" s="3" customFormat="1" ht="29.25" customHeight="1">
      <c r="A18" s="8" t="s">
        <v>249</v>
      </c>
      <c r="B18" s="4" t="s">
        <v>311</v>
      </c>
      <c r="C18" s="4"/>
      <c r="D18" s="4"/>
      <c r="E18" s="4"/>
      <c r="F18" s="44">
        <f>SUM(F19:F20)</f>
        <v>953700</v>
      </c>
    </row>
    <row r="19" spans="1:6" s="3" customFormat="1" ht="51">
      <c r="A19" s="17" t="s">
        <v>313</v>
      </c>
      <c r="B19" s="4" t="s">
        <v>312</v>
      </c>
      <c r="C19" s="4" t="s">
        <v>200</v>
      </c>
      <c r="D19" s="4" t="s">
        <v>185</v>
      </c>
      <c r="E19" s="4" t="s">
        <v>176</v>
      </c>
      <c r="F19" s="44">
        <v>245100</v>
      </c>
    </row>
    <row r="20" spans="1:6" s="3" customFormat="1" ht="46.5" customHeight="1">
      <c r="A20" s="40" t="s">
        <v>457</v>
      </c>
      <c r="B20" s="4" t="s">
        <v>458</v>
      </c>
      <c r="C20" s="4" t="s">
        <v>198</v>
      </c>
      <c r="D20" s="4" t="s">
        <v>185</v>
      </c>
      <c r="E20" s="4" t="s">
        <v>176</v>
      </c>
      <c r="F20" s="44">
        <v>708600</v>
      </c>
    </row>
    <row r="21" spans="1:7" s="3" customFormat="1" ht="51" customHeight="1">
      <c r="A21" s="17" t="s">
        <v>204</v>
      </c>
      <c r="B21" s="4" t="s">
        <v>207</v>
      </c>
      <c r="C21" s="4"/>
      <c r="D21" s="4"/>
      <c r="E21" s="4"/>
      <c r="F21" s="44">
        <f>F22+F23</f>
        <v>141159050</v>
      </c>
      <c r="G21" s="11"/>
    </row>
    <row r="22" spans="1:7" s="3" customFormat="1" ht="33.75" customHeight="1">
      <c r="A22" s="17" t="s">
        <v>209</v>
      </c>
      <c r="B22" s="4" t="s">
        <v>208</v>
      </c>
      <c r="C22" s="4" t="s">
        <v>200</v>
      </c>
      <c r="D22" s="4" t="s">
        <v>185</v>
      </c>
      <c r="E22" s="4" t="s">
        <v>176</v>
      </c>
      <c r="F22" s="44">
        <v>133480150</v>
      </c>
      <c r="G22" s="11"/>
    </row>
    <row r="23" spans="1:7" s="3" customFormat="1" ht="51">
      <c r="A23" s="13" t="s">
        <v>220</v>
      </c>
      <c r="B23" s="4" t="s">
        <v>219</v>
      </c>
      <c r="C23" s="4" t="s">
        <v>198</v>
      </c>
      <c r="D23" s="4" t="s">
        <v>183</v>
      </c>
      <c r="E23" s="4" t="s">
        <v>179</v>
      </c>
      <c r="F23" s="44">
        <v>7678900</v>
      </c>
      <c r="G23" s="11"/>
    </row>
    <row r="24" spans="1:7" s="5" customFormat="1" ht="30.75" customHeight="1">
      <c r="A24" s="19" t="s">
        <v>514</v>
      </c>
      <c r="B24" s="15" t="s">
        <v>515</v>
      </c>
      <c r="C24" s="15"/>
      <c r="D24" s="15"/>
      <c r="E24" s="15"/>
      <c r="F24" s="43">
        <f>F25</f>
        <v>133823250</v>
      </c>
      <c r="G24" s="12"/>
    </row>
    <row r="25" spans="1:7" s="3" customFormat="1" ht="51">
      <c r="A25" s="13" t="s">
        <v>204</v>
      </c>
      <c r="B25" s="4" t="s">
        <v>516</v>
      </c>
      <c r="C25" s="4"/>
      <c r="D25" s="4"/>
      <c r="E25" s="4"/>
      <c r="F25" s="44">
        <f>SUM(F26:F54)</f>
        <v>133823250</v>
      </c>
      <c r="G25" s="11"/>
    </row>
    <row r="26" spans="1:7" s="3" customFormat="1" ht="38.25">
      <c r="A26" s="13" t="s">
        <v>31</v>
      </c>
      <c r="B26" s="4" t="s">
        <v>517</v>
      </c>
      <c r="C26" s="4" t="s">
        <v>194</v>
      </c>
      <c r="D26" s="4" t="s">
        <v>183</v>
      </c>
      <c r="E26" s="4" t="s">
        <v>177</v>
      </c>
      <c r="F26" s="44">
        <v>606516.22</v>
      </c>
      <c r="G26" s="11"/>
    </row>
    <row r="27" spans="1:7" s="3" customFormat="1" ht="26.25" customHeight="1">
      <c r="A27" s="13" t="s">
        <v>56</v>
      </c>
      <c r="B27" s="4" t="s">
        <v>517</v>
      </c>
      <c r="C27" s="4" t="s">
        <v>198</v>
      </c>
      <c r="D27" s="4" t="s">
        <v>183</v>
      </c>
      <c r="E27" s="4" t="s">
        <v>177</v>
      </c>
      <c r="F27" s="44">
        <v>39748983.78</v>
      </c>
      <c r="G27" s="11"/>
    </row>
    <row r="28" spans="1:7" s="3" customFormat="1" ht="38.25">
      <c r="A28" s="13" t="s">
        <v>32</v>
      </c>
      <c r="B28" s="4" t="s">
        <v>518</v>
      </c>
      <c r="C28" s="4" t="s">
        <v>194</v>
      </c>
      <c r="D28" s="4" t="s">
        <v>183</v>
      </c>
      <c r="E28" s="4" t="s">
        <v>177</v>
      </c>
      <c r="F28" s="44">
        <v>30333.32</v>
      </c>
      <c r="G28" s="11"/>
    </row>
    <row r="29" spans="1:7" s="3" customFormat="1" ht="38.25">
      <c r="A29" s="13" t="s">
        <v>57</v>
      </c>
      <c r="B29" s="4" t="s">
        <v>518</v>
      </c>
      <c r="C29" s="4" t="s">
        <v>198</v>
      </c>
      <c r="D29" s="4" t="s">
        <v>183</v>
      </c>
      <c r="E29" s="4" t="s">
        <v>177</v>
      </c>
      <c r="F29" s="44">
        <v>1952766.68</v>
      </c>
      <c r="G29" s="11"/>
    </row>
    <row r="30" spans="1:7" s="3" customFormat="1" ht="38.25">
      <c r="A30" s="13" t="s">
        <v>364</v>
      </c>
      <c r="B30" s="4" t="s">
        <v>519</v>
      </c>
      <c r="C30" s="4" t="s">
        <v>194</v>
      </c>
      <c r="D30" s="4" t="s">
        <v>183</v>
      </c>
      <c r="E30" s="4" t="s">
        <v>177</v>
      </c>
      <c r="F30" s="44">
        <v>410409.72</v>
      </c>
      <c r="G30" s="11"/>
    </row>
    <row r="31" spans="1:7" s="3" customFormat="1" ht="25.5">
      <c r="A31" s="13" t="s">
        <v>58</v>
      </c>
      <c r="B31" s="4" t="s">
        <v>519</v>
      </c>
      <c r="C31" s="4" t="s">
        <v>198</v>
      </c>
      <c r="D31" s="4" t="s">
        <v>183</v>
      </c>
      <c r="E31" s="4" t="s">
        <v>177</v>
      </c>
      <c r="F31" s="44">
        <v>26957290.28</v>
      </c>
      <c r="G31" s="11"/>
    </row>
    <row r="32" spans="1:7" s="3" customFormat="1" ht="51">
      <c r="A32" s="13" t="s">
        <v>33</v>
      </c>
      <c r="B32" s="4" t="s">
        <v>520</v>
      </c>
      <c r="C32" s="4" t="s">
        <v>194</v>
      </c>
      <c r="D32" s="4" t="s">
        <v>183</v>
      </c>
      <c r="E32" s="4" t="s">
        <v>177</v>
      </c>
      <c r="F32" s="44">
        <v>2413.58</v>
      </c>
      <c r="G32" s="11"/>
    </row>
    <row r="33" spans="1:7" s="3" customFormat="1" ht="38.25">
      <c r="A33" s="13" t="s">
        <v>127</v>
      </c>
      <c r="B33" s="4" t="s">
        <v>520</v>
      </c>
      <c r="C33" s="4" t="s">
        <v>198</v>
      </c>
      <c r="D33" s="4" t="s">
        <v>183</v>
      </c>
      <c r="E33" s="4" t="s">
        <v>177</v>
      </c>
      <c r="F33" s="44">
        <v>129486.42</v>
      </c>
      <c r="G33" s="11"/>
    </row>
    <row r="34" spans="1:7" s="3" customFormat="1" ht="38.25">
      <c r="A34" s="13" t="s">
        <v>34</v>
      </c>
      <c r="B34" s="4" t="s">
        <v>521</v>
      </c>
      <c r="C34" s="4" t="s">
        <v>194</v>
      </c>
      <c r="D34" s="4" t="s">
        <v>183</v>
      </c>
      <c r="E34" s="4" t="s">
        <v>177</v>
      </c>
      <c r="F34" s="44">
        <v>665.06</v>
      </c>
      <c r="G34" s="11"/>
    </row>
    <row r="35" spans="1:7" s="3" customFormat="1" ht="38.25">
      <c r="A35" s="13" t="s">
        <v>128</v>
      </c>
      <c r="B35" s="4" t="s">
        <v>521</v>
      </c>
      <c r="C35" s="4" t="s">
        <v>198</v>
      </c>
      <c r="D35" s="4" t="s">
        <v>183</v>
      </c>
      <c r="E35" s="4" t="s">
        <v>177</v>
      </c>
      <c r="F35" s="44">
        <v>42734.94</v>
      </c>
      <c r="G35" s="11"/>
    </row>
    <row r="36" spans="1:7" s="3" customFormat="1" ht="38.25">
      <c r="A36" s="8" t="s">
        <v>106</v>
      </c>
      <c r="B36" s="4" t="s">
        <v>464</v>
      </c>
      <c r="C36" s="4" t="s">
        <v>194</v>
      </c>
      <c r="D36" s="4" t="s">
        <v>183</v>
      </c>
      <c r="E36" s="4" t="s">
        <v>177</v>
      </c>
      <c r="F36" s="44">
        <v>72047.35</v>
      </c>
      <c r="G36" s="11"/>
    </row>
    <row r="37" spans="1:7" s="3" customFormat="1" ht="38.25">
      <c r="A37" s="10" t="s">
        <v>107</v>
      </c>
      <c r="B37" s="4" t="s">
        <v>464</v>
      </c>
      <c r="C37" s="4" t="s">
        <v>198</v>
      </c>
      <c r="D37" s="4" t="s">
        <v>183</v>
      </c>
      <c r="E37" s="4" t="s">
        <v>177</v>
      </c>
      <c r="F37" s="44">
        <v>700252.65</v>
      </c>
      <c r="G37" s="11"/>
    </row>
    <row r="38" spans="1:7" s="3" customFormat="1" ht="38.25">
      <c r="A38" s="8" t="s">
        <v>29</v>
      </c>
      <c r="B38" s="4" t="s">
        <v>105</v>
      </c>
      <c r="C38" s="4" t="s">
        <v>200</v>
      </c>
      <c r="D38" s="4" t="s">
        <v>183</v>
      </c>
      <c r="E38" s="4" t="s">
        <v>178</v>
      </c>
      <c r="F38" s="44">
        <v>10903450</v>
      </c>
      <c r="G38" s="11"/>
    </row>
    <row r="39" spans="1:7" s="3" customFormat="1" ht="25.5">
      <c r="A39" s="13" t="s">
        <v>51</v>
      </c>
      <c r="B39" s="4" t="s">
        <v>110</v>
      </c>
      <c r="C39" s="4" t="s">
        <v>194</v>
      </c>
      <c r="D39" s="4" t="s">
        <v>183</v>
      </c>
      <c r="E39" s="4" t="s">
        <v>177</v>
      </c>
      <c r="F39" s="44">
        <v>267100</v>
      </c>
      <c r="G39" s="11"/>
    </row>
    <row r="40" spans="1:7" s="3" customFormat="1" ht="25.5">
      <c r="A40" s="13" t="s">
        <v>109</v>
      </c>
      <c r="B40" s="4" t="s">
        <v>110</v>
      </c>
      <c r="C40" s="4" t="s">
        <v>198</v>
      </c>
      <c r="D40" s="4" t="s">
        <v>183</v>
      </c>
      <c r="E40" s="4" t="s">
        <v>177</v>
      </c>
      <c r="F40" s="44">
        <v>17532900</v>
      </c>
      <c r="G40" s="11"/>
    </row>
    <row r="41" spans="1:7" s="3" customFormat="1" ht="39.75" customHeight="1">
      <c r="A41" s="13" t="s">
        <v>396</v>
      </c>
      <c r="B41" s="4" t="s">
        <v>110</v>
      </c>
      <c r="C41" s="4" t="s">
        <v>193</v>
      </c>
      <c r="D41" s="4" t="s">
        <v>183</v>
      </c>
      <c r="E41" s="4" t="s">
        <v>180</v>
      </c>
      <c r="F41" s="44">
        <f>1089600+280783.04</f>
        <v>1370383.04</v>
      </c>
      <c r="G41" s="11"/>
    </row>
    <row r="42" spans="1:7" s="3" customFormat="1" ht="28.5" customHeight="1">
      <c r="A42" s="13" t="s">
        <v>397</v>
      </c>
      <c r="B42" s="4" t="s">
        <v>110</v>
      </c>
      <c r="C42" s="4" t="s">
        <v>194</v>
      </c>
      <c r="D42" s="4" t="s">
        <v>183</v>
      </c>
      <c r="E42" s="4" t="s">
        <v>180</v>
      </c>
      <c r="F42" s="44">
        <f>61128.92+188888.04</f>
        <v>250016.96000000002</v>
      </c>
      <c r="G42" s="11"/>
    </row>
    <row r="43" spans="1:7" s="3" customFormat="1" ht="34.5" customHeight="1">
      <c r="A43" s="13" t="s">
        <v>309</v>
      </c>
      <c r="B43" s="4" t="s">
        <v>112</v>
      </c>
      <c r="C43" s="4" t="s">
        <v>194</v>
      </c>
      <c r="D43" s="4" t="s">
        <v>183</v>
      </c>
      <c r="E43" s="4" t="s">
        <v>177</v>
      </c>
      <c r="F43" s="44">
        <v>8459.11</v>
      </c>
      <c r="G43" s="11"/>
    </row>
    <row r="44" spans="1:7" s="3" customFormat="1" ht="39.75" customHeight="1">
      <c r="A44" s="13" t="s">
        <v>111</v>
      </c>
      <c r="B44" s="4" t="s">
        <v>112</v>
      </c>
      <c r="C44" s="4" t="s">
        <v>198</v>
      </c>
      <c r="D44" s="4" t="s">
        <v>183</v>
      </c>
      <c r="E44" s="4" t="s">
        <v>177</v>
      </c>
      <c r="F44" s="44">
        <v>583540.89</v>
      </c>
      <c r="G44" s="11"/>
    </row>
    <row r="45" spans="1:7" s="3" customFormat="1" ht="37.5" customHeight="1">
      <c r="A45" s="13" t="s">
        <v>52</v>
      </c>
      <c r="B45" s="4" t="s">
        <v>113</v>
      </c>
      <c r="C45" s="4" t="s">
        <v>194</v>
      </c>
      <c r="D45" s="4" t="s">
        <v>183</v>
      </c>
      <c r="E45" s="4" t="s">
        <v>177</v>
      </c>
      <c r="F45" s="44">
        <v>45656.4</v>
      </c>
      <c r="G45" s="11"/>
    </row>
    <row r="46" spans="1:7" s="3" customFormat="1" ht="39" customHeight="1">
      <c r="A46" s="13" t="s">
        <v>142</v>
      </c>
      <c r="B46" s="4" t="s">
        <v>113</v>
      </c>
      <c r="C46" s="4" t="s">
        <v>198</v>
      </c>
      <c r="D46" s="4" t="s">
        <v>183</v>
      </c>
      <c r="E46" s="4" t="s">
        <v>177</v>
      </c>
      <c r="F46" s="44">
        <v>3063743.6</v>
      </c>
      <c r="G46" s="11"/>
    </row>
    <row r="47" spans="1:7" s="3" customFormat="1" ht="27" customHeight="1">
      <c r="A47" s="13" t="s">
        <v>116</v>
      </c>
      <c r="B47" s="4" t="s">
        <v>117</v>
      </c>
      <c r="C47" s="4" t="s">
        <v>194</v>
      </c>
      <c r="D47" s="4" t="s">
        <v>183</v>
      </c>
      <c r="E47" s="4" t="s">
        <v>177</v>
      </c>
      <c r="F47" s="44">
        <v>473700</v>
      </c>
      <c r="G47" s="11"/>
    </row>
    <row r="48" spans="1:7" s="3" customFormat="1" ht="24.75" customHeight="1">
      <c r="A48" s="13" t="s">
        <v>143</v>
      </c>
      <c r="B48" s="4" t="s">
        <v>117</v>
      </c>
      <c r="C48" s="4" t="s">
        <v>198</v>
      </c>
      <c r="D48" s="4" t="s">
        <v>183</v>
      </c>
      <c r="E48" s="4" t="s">
        <v>177</v>
      </c>
      <c r="F48" s="44">
        <v>26174000</v>
      </c>
      <c r="G48" s="11"/>
    </row>
    <row r="49" spans="1:7" s="3" customFormat="1" ht="51" customHeight="1">
      <c r="A49" s="13" t="s">
        <v>465</v>
      </c>
      <c r="B49" s="4" t="s">
        <v>466</v>
      </c>
      <c r="C49" s="4" t="s">
        <v>198</v>
      </c>
      <c r="D49" s="4" t="s">
        <v>183</v>
      </c>
      <c r="E49" s="4" t="s">
        <v>177</v>
      </c>
      <c r="F49" s="44">
        <v>0</v>
      </c>
      <c r="G49" s="11"/>
    </row>
    <row r="50" spans="1:7" s="3" customFormat="1" ht="58.5" customHeight="1">
      <c r="A50" s="13" t="s">
        <v>467</v>
      </c>
      <c r="B50" s="4" t="s">
        <v>468</v>
      </c>
      <c r="C50" s="4" t="s">
        <v>198</v>
      </c>
      <c r="D50" s="4" t="s">
        <v>183</v>
      </c>
      <c r="E50" s="4" t="s">
        <v>177</v>
      </c>
      <c r="F50" s="44">
        <v>2001600</v>
      </c>
      <c r="G50" s="11"/>
    </row>
    <row r="51" spans="1:7" s="5" customFormat="1" ht="21" customHeight="1">
      <c r="A51" s="13" t="s">
        <v>118</v>
      </c>
      <c r="B51" s="4" t="s">
        <v>120</v>
      </c>
      <c r="C51" s="4" t="s">
        <v>194</v>
      </c>
      <c r="D51" s="4" t="s">
        <v>183</v>
      </c>
      <c r="E51" s="4" t="s">
        <v>177</v>
      </c>
      <c r="F51" s="44">
        <v>7734.14</v>
      </c>
      <c r="G51" s="12"/>
    </row>
    <row r="52" spans="1:7" s="3" customFormat="1" ht="46.5" customHeight="1">
      <c r="A52" s="13" t="s">
        <v>119</v>
      </c>
      <c r="B52" s="4" t="s">
        <v>120</v>
      </c>
      <c r="C52" s="4" t="s">
        <v>198</v>
      </c>
      <c r="D52" s="4" t="s">
        <v>183</v>
      </c>
      <c r="E52" s="4" t="s">
        <v>177</v>
      </c>
      <c r="F52" s="44">
        <v>465065.86</v>
      </c>
      <c r="G52" s="11"/>
    </row>
    <row r="53" spans="1:7" s="3" customFormat="1" ht="54.75" customHeight="1">
      <c r="A53" s="13" t="s">
        <v>469</v>
      </c>
      <c r="B53" s="4" t="s">
        <v>470</v>
      </c>
      <c r="C53" s="4" t="s">
        <v>194</v>
      </c>
      <c r="D53" s="4" t="s">
        <v>183</v>
      </c>
      <c r="E53" s="4" t="s">
        <v>177</v>
      </c>
      <c r="F53" s="44">
        <v>249.3</v>
      </c>
      <c r="G53" s="11"/>
    </row>
    <row r="54" spans="1:7" s="3" customFormat="1" ht="51">
      <c r="A54" s="13" t="s">
        <v>471</v>
      </c>
      <c r="B54" s="4" t="s">
        <v>470</v>
      </c>
      <c r="C54" s="4" t="s">
        <v>198</v>
      </c>
      <c r="D54" s="4" t="s">
        <v>183</v>
      </c>
      <c r="E54" s="4" t="s">
        <v>177</v>
      </c>
      <c r="F54" s="44">
        <v>21750.7</v>
      </c>
      <c r="G54" s="11"/>
    </row>
    <row r="55" spans="1:7" s="3" customFormat="1" ht="13.5">
      <c r="A55" s="20" t="s">
        <v>199</v>
      </c>
      <c r="B55" s="15" t="s">
        <v>231</v>
      </c>
      <c r="C55" s="15"/>
      <c r="D55" s="15"/>
      <c r="E55" s="15"/>
      <c r="F55" s="43">
        <f>F56</f>
        <v>83244310</v>
      </c>
      <c r="G55" s="11"/>
    </row>
    <row r="56" spans="1:7" s="3" customFormat="1" ht="54.75" customHeight="1">
      <c r="A56" s="13" t="s">
        <v>204</v>
      </c>
      <c r="B56" s="4" t="s">
        <v>232</v>
      </c>
      <c r="C56" s="4"/>
      <c r="D56" s="4"/>
      <c r="E56" s="4"/>
      <c r="F56" s="44">
        <f>SUM(F57:F73)</f>
        <v>83244310</v>
      </c>
      <c r="G56" s="11"/>
    </row>
    <row r="57" spans="1:7" s="3" customFormat="1" ht="55.5" customHeight="1">
      <c r="A57" s="13" t="s">
        <v>568</v>
      </c>
      <c r="B57" s="4" t="s">
        <v>233</v>
      </c>
      <c r="C57" s="4" t="s">
        <v>193</v>
      </c>
      <c r="D57" s="4" t="s">
        <v>185</v>
      </c>
      <c r="E57" s="4" t="s">
        <v>178</v>
      </c>
      <c r="F57" s="44">
        <f>10849058.01+3169012.66</f>
        <v>14018070.67</v>
      </c>
      <c r="G57" s="11"/>
    </row>
    <row r="58" spans="1:7" s="3" customFormat="1" ht="38.25">
      <c r="A58" s="13" t="s">
        <v>35</v>
      </c>
      <c r="B58" s="4" t="s">
        <v>233</v>
      </c>
      <c r="C58" s="4" t="s">
        <v>194</v>
      </c>
      <c r="D58" s="4" t="s">
        <v>185</v>
      </c>
      <c r="E58" s="4" t="s">
        <v>178</v>
      </c>
      <c r="F58" s="44">
        <f>450548.97+8179328.57</f>
        <v>8629877.540000001</v>
      </c>
      <c r="G58" s="11"/>
    </row>
    <row r="59" spans="1:7" s="3" customFormat="1" ht="45" customHeight="1">
      <c r="A59" s="13" t="s">
        <v>144</v>
      </c>
      <c r="B59" s="4" t="s">
        <v>233</v>
      </c>
      <c r="C59" s="4" t="s">
        <v>196</v>
      </c>
      <c r="D59" s="4" t="s">
        <v>185</v>
      </c>
      <c r="E59" s="4" t="s">
        <v>178</v>
      </c>
      <c r="F59" s="44">
        <f>511264+21247.79+8550</f>
        <v>541061.79</v>
      </c>
      <c r="G59" s="11"/>
    </row>
    <row r="60" spans="1:7" s="3" customFormat="1" ht="51">
      <c r="A60" s="13" t="s">
        <v>129</v>
      </c>
      <c r="B60" s="4" t="s">
        <v>563</v>
      </c>
      <c r="C60" s="4" t="s">
        <v>198</v>
      </c>
      <c r="D60" s="4" t="s">
        <v>183</v>
      </c>
      <c r="E60" s="4" t="s">
        <v>179</v>
      </c>
      <c r="F60" s="44">
        <v>16743400</v>
      </c>
      <c r="G60" s="11"/>
    </row>
    <row r="61" spans="1:7" s="3" customFormat="1" ht="51">
      <c r="A61" s="13" t="s">
        <v>36</v>
      </c>
      <c r="B61" s="4" t="s">
        <v>532</v>
      </c>
      <c r="C61" s="4" t="s">
        <v>194</v>
      </c>
      <c r="D61" s="4" t="s">
        <v>183</v>
      </c>
      <c r="E61" s="4" t="s">
        <v>179</v>
      </c>
      <c r="F61" s="44">
        <v>43098.07</v>
      </c>
      <c r="G61" s="11"/>
    </row>
    <row r="62" spans="1:7" s="3" customFormat="1" ht="38.25">
      <c r="A62" s="13" t="s">
        <v>130</v>
      </c>
      <c r="B62" s="4" t="s">
        <v>532</v>
      </c>
      <c r="C62" s="4" t="s">
        <v>198</v>
      </c>
      <c r="D62" s="4" t="s">
        <v>183</v>
      </c>
      <c r="E62" s="4" t="s">
        <v>179</v>
      </c>
      <c r="F62" s="44">
        <v>2873201.93</v>
      </c>
      <c r="G62" s="11"/>
    </row>
    <row r="63" spans="1:7" s="3" customFormat="1" ht="25.5">
      <c r="A63" s="13" t="s">
        <v>37</v>
      </c>
      <c r="B63" s="4" t="s">
        <v>522</v>
      </c>
      <c r="C63" s="4" t="s">
        <v>194</v>
      </c>
      <c r="D63" s="4" t="s">
        <v>183</v>
      </c>
      <c r="E63" s="4" t="s">
        <v>177</v>
      </c>
      <c r="F63" s="44">
        <v>147287.32</v>
      </c>
      <c r="G63" s="11"/>
    </row>
    <row r="64" spans="1:7" s="3" customFormat="1" ht="25.5">
      <c r="A64" s="13" t="s">
        <v>131</v>
      </c>
      <c r="B64" s="4" t="s">
        <v>522</v>
      </c>
      <c r="C64" s="4" t="s">
        <v>198</v>
      </c>
      <c r="D64" s="4" t="s">
        <v>183</v>
      </c>
      <c r="E64" s="4" t="s">
        <v>177</v>
      </c>
      <c r="F64" s="44">
        <v>9177312.68</v>
      </c>
      <c r="G64" s="11"/>
    </row>
    <row r="65" spans="1:7" s="3" customFormat="1" ht="38.25">
      <c r="A65" s="13" t="s">
        <v>38</v>
      </c>
      <c r="B65" s="4" t="s">
        <v>523</v>
      </c>
      <c r="C65" s="4" t="s">
        <v>194</v>
      </c>
      <c r="D65" s="4" t="s">
        <v>183</v>
      </c>
      <c r="E65" s="4" t="s">
        <v>177</v>
      </c>
      <c r="F65" s="44">
        <v>20241.87</v>
      </c>
      <c r="G65" s="11"/>
    </row>
    <row r="66" spans="1:7" s="3" customFormat="1" ht="38.25">
      <c r="A66" s="13" t="s">
        <v>132</v>
      </c>
      <c r="B66" s="4" t="s">
        <v>523</v>
      </c>
      <c r="C66" s="4" t="s">
        <v>198</v>
      </c>
      <c r="D66" s="4" t="s">
        <v>183</v>
      </c>
      <c r="E66" s="4" t="s">
        <v>177</v>
      </c>
      <c r="F66" s="44">
        <v>1328458.13</v>
      </c>
      <c r="G66" s="11"/>
    </row>
    <row r="67" spans="1:7" s="3" customFormat="1" ht="63.75">
      <c r="A67" s="13" t="s">
        <v>39</v>
      </c>
      <c r="B67" s="4" t="s">
        <v>533</v>
      </c>
      <c r="C67" s="4" t="s">
        <v>194</v>
      </c>
      <c r="D67" s="4" t="s">
        <v>183</v>
      </c>
      <c r="E67" s="4" t="s">
        <v>179</v>
      </c>
      <c r="F67" s="44">
        <v>120486.12</v>
      </c>
      <c r="G67" s="11"/>
    </row>
    <row r="68" spans="1:7" s="3" customFormat="1" ht="63.75">
      <c r="A68" s="13" t="s">
        <v>133</v>
      </c>
      <c r="B68" s="4" t="s">
        <v>533</v>
      </c>
      <c r="C68" s="4" t="s">
        <v>198</v>
      </c>
      <c r="D68" s="4" t="s">
        <v>183</v>
      </c>
      <c r="E68" s="4" t="s">
        <v>179</v>
      </c>
      <c r="F68" s="44">
        <f>7007945.56+1486168.32</f>
        <v>8494113.879999999</v>
      </c>
      <c r="G68" s="11"/>
    </row>
    <row r="69" spans="1:7" s="3" customFormat="1" ht="51">
      <c r="A69" s="13" t="s">
        <v>40</v>
      </c>
      <c r="B69" s="4" t="s">
        <v>524</v>
      </c>
      <c r="C69" s="4" t="s">
        <v>194</v>
      </c>
      <c r="D69" s="4" t="s">
        <v>183</v>
      </c>
      <c r="E69" s="4" t="s">
        <v>177</v>
      </c>
      <c r="F69" s="44">
        <v>27524.62</v>
      </c>
      <c r="G69" s="11"/>
    </row>
    <row r="70" spans="1:6" s="5" customFormat="1" ht="48.75" customHeight="1">
      <c r="A70" s="13" t="s">
        <v>134</v>
      </c>
      <c r="B70" s="4" t="s">
        <v>524</v>
      </c>
      <c r="C70" s="4" t="s">
        <v>198</v>
      </c>
      <c r="D70" s="4" t="s">
        <v>183</v>
      </c>
      <c r="E70" s="4" t="s">
        <v>177</v>
      </c>
      <c r="F70" s="44">
        <v>1833875.38</v>
      </c>
    </row>
    <row r="71" spans="1:6" s="3" customFormat="1" ht="51">
      <c r="A71" s="13" t="s">
        <v>569</v>
      </c>
      <c r="B71" s="4" t="s">
        <v>534</v>
      </c>
      <c r="C71" s="4" t="s">
        <v>193</v>
      </c>
      <c r="D71" s="4" t="s">
        <v>183</v>
      </c>
      <c r="E71" s="4" t="s">
        <v>180</v>
      </c>
      <c r="F71" s="44">
        <f>865977.94+260100</f>
        <v>1126077.94</v>
      </c>
    </row>
    <row r="72" spans="1:6" s="3" customFormat="1" ht="30" customHeight="1">
      <c r="A72" s="13" t="s">
        <v>41</v>
      </c>
      <c r="B72" s="4" t="s">
        <v>534</v>
      </c>
      <c r="C72" s="4" t="s">
        <v>194</v>
      </c>
      <c r="D72" s="4" t="s">
        <v>183</v>
      </c>
      <c r="E72" s="4" t="s">
        <v>180</v>
      </c>
      <c r="F72" s="44">
        <f>60625+63197.06</f>
        <v>123822.06</v>
      </c>
    </row>
    <row r="73" spans="1:6" s="3" customFormat="1" ht="82.5" customHeight="1">
      <c r="A73" s="13" t="s">
        <v>135</v>
      </c>
      <c r="B73" s="4" t="s">
        <v>525</v>
      </c>
      <c r="C73" s="4" t="s">
        <v>198</v>
      </c>
      <c r="D73" s="4" t="s">
        <v>183</v>
      </c>
      <c r="E73" s="4" t="s">
        <v>177</v>
      </c>
      <c r="F73" s="44">
        <v>17996400</v>
      </c>
    </row>
    <row r="74" spans="1:6" s="3" customFormat="1" ht="33.75" customHeight="1">
      <c r="A74" s="16" t="s">
        <v>247</v>
      </c>
      <c r="B74" s="15" t="s">
        <v>250</v>
      </c>
      <c r="C74" s="15"/>
      <c r="D74" s="15"/>
      <c r="E74" s="15"/>
      <c r="F74" s="43">
        <f>F75</f>
        <v>48415000</v>
      </c>
    </row>
    <row r="75" spans="1:6" s="3" customFormat="1" ht="55.5" customHeight="1">
      <c r="A75" s="8" t="s">
        <v>248</v>
      </c>
      <c r="B75" s="4" t="s">
        <v>251</v>
      </c>
      <c r="C75" s="4"/>
      <c r="D75" s="4"/>
      <c r="E75" s="4"/>
      <c r="F75" s="44">
        <f>F76</f>
        <v>48415000</v>
      </c>
    </row>
    <row r="76" spans="1:6" s="3" customFormat="1" ht="36" customHeight="1">
      <c r="A76" s="8" t="s">
        <v>249</v>
      </c>
      <c r="B76" s="4" t="s">
        <v>252</v>
      </c>
      <c r="C76" s="4"/>
      <c r="D76" s="4"/>
      <c r="E76" s="4"/>
      <c r="F76" s="44">
        <f>SUM(F77:F80)</f>
        <v>48415000</v>
      </c>
    </row>
    <row r="77" spans="1:6" s="5" customFormat="1" ht="68.25" customHeight="1">
      <c r="A77" s="14" t="s">
        <v>570</v>
      </c>
      <c r="B77" s="4" t="s">
        <v>253</v>
      </c>
      <c r="C77" s="4" t="s">
        <v>193</v>
      </c>
      <c r="D77" s="4" t="s">
        <v>176</v>
      </c>
      <c r="E77" s="4" t="s">
        <v>179</v>
      </c>
      <c r="F77" s="44">
        <v>4370000</v>
      </c>
    </row>
    <row r="78" spans="1:6" s="3" customFormat="1" ht="51">
      <c r="A78" s="14" t="s">
        <v>356</v>
      </c>
      <c r="B78" s="4" t="s">
        <v>253</v>
      </c>
      <c r="C78" s="4" t="s">
        <v>200</v>
      </c>
      <c r="D78" s="4" t="s">
        <v>185</v>
      </c>
      <c r="E78" s="4" t="s">
        <v>176</v>
      </c>
      <c r="F78" s="44">
        <v>14819904</v>
      </c>
    </row>
    <row r="79" spans="1:6" s="3" customFormat="1" ht="51">
      <c r="A79" s="14" t="s">
        <v>356</v>
      </c>
      <c r="B79" s="4" t="s">
        <v>253</v>
      </c>
      <c r="C79" s="4" t="s">
        <v>200</v>
      </c>
      <c r="D79" s="4" t="s">
        <v>185</v>
      </c>
      <c r="E79" s="4" t="s">
        <v>178</v>
      </c>
      <c r="F79" s="44">
        <v>25225096</v>
      </c>
    </row>
    <row r="80" spans="1:6" s="3" customFormat="1" ht="51">
      <c r="A80" s="14" t="s">
        <v>356</v>
      </c>
      <c r="B80" s="4" t="s">
        <v>253</v>
      </c>
      <c r="C80" s="4" t="s">
        <v>200</v>
      </c>
      <c r="D80" s="4" t="s">
        <v>187</v>
      </c>
      <c r="E80" s="4" t="s">
        <v>178</v>
      </c>
      <c r="F80" s="44">
        <v>4000000</v>
      </c>
    </row>
    <row r="81" spans="1:6" s="3" customFormat="1" ht="30" customHeight="1">
      <c r="A81" s="16" t="s">
        <v>254</v>
      </c>
      <c r="B81" s="15" t="s">
        <v>256</v>
      </c>
      <c r="C81" s="15"/>
      <c r="D81" s="15"/>
      <c r="E81" s="15"/>
      <c r="F81" s="43">
        <f>F82</f>
        <v>25400</v>
      </c>
    </row>
    <row r="82" spans="1:6" s="3" customFormat="1" ht="20.25" customHeight="1">
      <c r="A82" s="8" t="s">
        <v>255</v>
      </c>
      <c r="B82" s="4" t="s">
        <v>257</v>
      </c>
      <c r="C82" s="4"/>
      <c r="D82" s="4"/>
      <c r="E82" s="4"/>
      <c r="F82" s="44">
        <f>F83</f>
        <v>25400</v>
      </c>
    </row>
    <row r="83" spans="1:6" s="3" customFormat="1" ht="24.75" customHeight="1">
      <c r="A83" s="14" t="s">
        <v>204</v>
      </c>
      <c r="B83" s="4" t="s">
        <v>258</v>
      </c>
      <c r="C83" s="4"/>
      <c r="D83" s="4"/>
      <c r="E83" s="4"/>
      <c r="F83" s="44">
        <f>F84</f>
        <v>25400</v>
      </c>
    </row>
    <row r="84" spans="1:6" s="3" customFormat="1" ht="24.75" customHeight="1">
      <c r="A84" s="14" t="s">
        <v>260</v>
      </c>
      <c r="B84" s="4" t="s">
        <v>259</v>
      </c>
      <c r="C84" s="4" t="s">
        <v>194</v>
      </c>
      <c r="D84" s="4" t="s">
        <v>176</v>
      </c>
      <c r="E84" s="4" t="s">
        <v>179</v>
      </c>
      <c r="F84" s="44">
        <v>25400</v>
      </c>
    </row>
    <row r="85" spans="1:6" s="3" customFormat="1" ht="28.5" customHeight="1">
      <c r="A85" s="27" t="s">
        <v>78</v>
      </c>
      <c r="B85" s="15" t="s">
        <v>79</v>
      </c>
      <c r="C85" s="15"/>
      <c r="D85" s="15"/>
      <c r="E85" s="15"/>
      <c r="F85" s="43">
        <f>SUM(F89)+F86</f>
        <v>12717139</v>
      </c>
    </row>
    <row r="86" spans="1:6" s="3" customFormat="1" ht="16.5" customHeight="1">
      <c r="A86" s="7" t="s">
        <v>317</v>
      </c>
      <c r="B86" s="4" t="s">
        <v>314</v>
      </c>
      <c r="C86" s="4"/>
      <c r="D86" s="4"/>
      <c r="E86" s="4"/>
      <c r="F86" s="44">
        <f>F87</f>
        <v>12207940</v>
      </c>
    </row>
    <row r="87" spans="1:6" s="3" customFormat="1" ht="30" customHeight="1">
      <c r="A87" s="8" t="s">
        <v>249</v>
      </c>
      <c r="B87" s="4" t="s">
        <v>315</v>
      </c>
      <c r="C87" s="4"/>
      <c r="D87" s="4"/>
      <c r="E87" s="4"/>
      <c r="F87" s="44">
        <f>F88</f>
        <v>12207940</v>
      </c>
    </row>
    <row r="88" spans="1:6" s="3" customFormat="1" ht="55.5" customHeight="1">
      <c r="A88" s="37" t="s">
        <v>318</v>
      </c>
      <c r="B88" s="4" t="s">
        <v>316</v>
      </c>
      <c r="C88" s="4" t="s">
        <v>194</v>
      </c>
      <c r="D88" s="4" t="s">
        <v>184</v>
      </c>
      <c r="E88" s="4" t="s">
        <v>178</v>
      </c>
      <c r="F88" s="44">
        <v>12207940</v>
      </c>
    </row>
    <row r="89" spans="1:6" s="3" customFormat="1" ht="27" customHeight="1">
      <c r="A89" s="8" t="s">
        <v>80</v>
      </c>
      <c r="B89" s="4" t="s">
        <v>81</v>
      </c>
      <c r="C89" s="4"/>
      <c r="D89" s="4"/>
      <c r="E89" s="4"/>
      <c r="F89" s="44">
        <f>SUM(F90)</f>
        <v>509199</v>
      </c>
    </row>
    <row r="90" spans="1:6" s="3" customFormat="1" ht="22.5" customHeight="1">
      <c r="A90" s="8" t="s">
        <v>249</v>
      </c>
      <c r="B90" s="4" t="s">
        <v>82</v>
      </c>
      <c r="C90" s="4"/>
      <c r="D90" s="4"/>
      <c r="E90" s="4"/>
      <c r="F90" s="44">
        <f>SUM(F91:F92)</f>
        <v>509199</v>
      </c>
    </row>
    <row r="91" spans="1:6" s="3" customFormat="1" ht="39" customHeight="1">
      <c r="A91" s="8" t="s">
        <v>83</v>
      </c>
      <c r="B91" s="4" t="s">
        <v>319</v>
      </c>
      <c r="C91" s="4" t="s">
        <v>198</v>
      </c>
      <c r="D91" s="4" t="s">
        <v>183</v>
      </c>
      <c r="E91" s="4" t="s">
        <v>177</v>
      </c>
      <c r="F91" s="44">
        <v>294578</v>
      </c>
    </row>
    <row r="92" spans="1:6" s="3" customFormat="1" ht="38.25">
      <c r="A92" s="8" t="s">
        <v>84</v>
      </c>
      <c r="B92" s="4" t="s">
        <v>85</v>
      </c>
      <c r="C92" s="4" t="s">
        <v>198</v>
      </c>
      <c r="D92" s="4" t="s">
        <v>183</v>
      </c>
      <c r="E92" s="4" t="s">
        <v>177</v>
      </c>
      <c r="F92" s="44">
        <v>214621</v>
      </c>
    </row>
    <row r="93" spans="1:6" s="3" customFormat="1" ht="25.5">
      <c r="A93" s="38" t="s">
        <v>582</v>
      </c>
      <c r="B93" s="15" t="s">
        <v>583</v>
      </c>
      <c r="C93" s="15"/>
      <c r="D93" s="15"/>
      <c r="E93" s="15"/>
      <c r="F93" s="43">
        <f>F94</f>
        <v>6562120</v>
      </c>
    </row>
    <row r="94" spans="1:6" s="3" customFormat="1" ht="25.5">
      <c r="A94" s="8" t="s">
        <v>249</v>
      </c>
      <c r="B94" s="4" t="s">
        <v>584</v>
      </c>
      <c r="C94" s="4"/>
      <c r="D94" s="4"/>
      <c r="E94" s="4"/>
      <c r="F94" s="44">
        <f>F95</f>
        <v>6562120</v>
      </c>
    </row>
    <row r="95" spans="1:6" s="3" customFormat="1" ht="25.5">
      <c r="A95" s="22" t="s">
        <v>586</v>
      </c>
      <c r="B95" s="4" t="s">
        <v>585</v>
      </c>
      <c r="C95" s="4" t="s">
        <v>194</v>
      </c>
      <c r="D95" s="4" t="s">
        <v>179</v>
      </c>
      <c r="E95" s="4" t="s">
        <v>181</v>
      </c>
      <c r="F95" s="44">
        <v>6562120</v>
      </c>
    </row>
    <row r="96" spans="1:6" s="3" customFormat="1" ht="25.5">
      <c r="A96" s="19" t="s">
        <v>92</v>
      </c>
      <c r="B96" s="15" t="s">
        <v>95</v>
      </c>
      <c r="C96" s="15"/>
      <c r="D96" s="15"/>
      <c r="E96" s="15"/>
      <c r="F96" s="43">
        <f>SUM(F97+F100)</f>
        <v>709000</v>
      </c>
    </row>
    <row r="97" spans="1:6" s="3" customFormat="1" ht="13.5">
      <c r="A97" s="30" t="s">
        <v>93</v>
      </c>
      <c r="B97" s="4" t="s">
        <v>96</v>
      </c>
      <c r="C97" s="4"/>
      <c r="D97" s="4"/>
      <c r="E97" s="4"/>
      <c r="F97" s="44">
        <f>SUM(F98)</f>
        <v>435000</v>
      </c>
    </row>
    <row r="98" spans="1:6" s="3" customFormat="1" ht="25.5">
      <c r="A98" s="30" t="s">
        <v>249</v>
      </c>
      <c r="B98" s="4" t="s">
        <v>97</v>
      </c>
      <c r="C98" s="4"/>
      <c r="D98" s="4"/>
      <c r="E98" s="4"/>
      <c r="F98" s="44">
        <f>SUM(F99)</f>
        <v>435000</v>
      </c>
    </row>
    <row r="99" spans="1:6" s="3" customFormat="1" ht="25.5">
      <c r="A99" s="30" t="s">
        <v>102</v>
      </c>
      <c r="B99" s="4" t="s">
        <v>98</v>
      </c>
      <c r="C99" s="4" t="s">
        <v>200</v>
      </c>
      <c r="D99" s="4" t="s">
        <v>187</v>
      </c>
      <c r="E99" s="4" t="s">
        <v>178</v>
      </c>
      <c r="F99" s="44">
        <v>435000</v>
      </c>
    </row>
    <row r="100" spans="1:6" s="3" customFormat="1" ht="13.5">
      <c r="A100" s="30" t="s">
        <v>94</v>
      </c>
      <c r="B100" s="4" t="s">
        <v>99</v>
      </c>
      <c r="C100" s="4"/>
      <c r="D100" s="4"/>
      <c r="E100" s="4"/>
      <c r="F100" s="44">
        <f>SUM(F101)</f>
        <v>274000</v>
      </c>
    </row>
    <row r="101" spans="1:6" s="3" customFormat="1" ht="25.5">
      <c r="A101" s="30" t="s">
        <v>249</v>
      </c>
      <c r="B101" s="4" t="s">
        <v>100</v>
      </c>
      <c r="C101" s="4"/>
      <c r="D101" s="4"/>
      <c r="E101" s="4"/>
      <c r="F101" s="44">
        <f>SUM(F102)</f>
        <v>274000</v>
      </c>
    </row>
    <row r="102" spans="1:6" s="3" customFormat="1" ht="25.5">
      <c r="A102" s="30" t="s">
        <v>102</v>
      </c>
      <c r="B102" s="4" t="s">
        <v>101</v>
      </c>
      <c r="C102" s="4" t="s">
        <v>200</v>
      </c>
      <c r="D102" s="4" t="s">
        <v>187</v>
      </c>
      <c r="E102" s="4" t="s">
        <v>178</v>
      </c>
      <c r="F102" s="44">
        <v>274000</v>
      </c>
    </row>
    <row r="103" spans="1:6" s="3" customFormat="1" ht="25.5">
      <c r="A103" s="28" t="s">
        <v>320</v>
      </c>
      <c r="B103" s="15" t="s">
        <v>321</v>
      </c>
      <c r="C103" s="15"/>
      <c r="D103" s="15"/>
      <c r="E103" s="15"/>
      <c r="F103" s="43">
        <f>F104</f>
        <v>260000</v>
      </c>
    </row>
    <row r="104" spans="1:6" s="3" customFormat="1" ht="25.5">
      <c r="A104" s="8" t="s">
        <v>249</v>
      </c>
      <c r="B104" s="4" t="s">
        <v>322</v>
      </c>
      <c r="C104" s="4"/>
      <c r="D104" s="4"/>
      <c r="E104" s="4"/>
      <c r="F104" s="44">
        <f>F105</f>
        <v>260000</v>
      </c>
    </row>
    <row r="105" spans="1:6" s="3" customFormat="1" ht="25.5">
      <c r="A105" s="10" t="s">
        <v>472</v>
      </c>
      <c r="B105" s="4" t="s">
        <v>323</v>
      </c>
      <c r="C105" s="4" t="s">
        <v>200</v>
      </c>
      <c r="D105" s="4" t="s">
        <v>185</v>
      </c>
      <c r="E105" s="4" t="s">
        <v>185</v>
      </c>
      <c r="F105" s="44">
        <v>260000</v>
      </c>
    </row>
    <row r="106" spans="1:6" s="5" customFormat="1" ht="25.5">
      <c r="A106" s="20" t="s">
        <v>473</v>
      </c>
      <c r="B106" s="15" t="s">
        <v>474</v>
      </c>
      <c r="C106" s="15"/>
      <c r="D106" s="15"/>
      <c r="E106" s="15"/>
      <c r="F106" s="43">
        <f>F107</f>
        <v>1119000</v>
      </c>
    </row>
    <row r="107" spans="1:6" s="5" customFormat="1" ht="25.5">
      <c r="A107" s="10" t="s">
        <v>475</v>
      </c>
      <c r="B107" s="4" t="s">
        <v>476</v>
      </c>
      <c r="C107" s="4"/>
      <c r="D107" s="4"/>
      <c r="E107" s="4"/>
      <c r="F107" s="44">
        <f>F108</f>
        <v>1119000</v>
      </c>
    </row>
    <row r="108" spans="1:6" s="5" customFormat="1" ht="25.5">
      <c r="A108" s="8" t="s">
        <v>249</v>
      </c>
      <c r="B108" s="4" t="s">
        <v>477</v>
      </c>
      <c r="C108" s="4"/>
      <c r="D108" s="4"/>
      <c r="E108" s="4"/>
      <c r="F108" s="44">
        <f>F109</f>
        <v>1119000</v>
      </c>
    </row>
    <row r="109" spans="1:6" s="3" customFormat="1" ht="38.25">
      <c r="A109" s="10" t="s">
        <v>478</v>
      </c>
      <c r="B109" s="4" t="s">
        <v>479</v>
      </c>
      <c r="C109" s="4" t="s">
        <v>200</v>
      </c>
      <c r="D109" s="4" t="s">
        <v>179</v>
      </c>
      <c r="E109" s="4" t="s">
        <v>186</v>
      </c>
      <c r="F109" s="44">
        <v>1119000</v>
      </c>
    </row>
    <row r="110" spans="1:6" s="3" customFormat="1" ht="25.5">
      <c r="A110" s="20" t="s">
        <v>410</v>
      </c>
      <c r="B110" s="15" t="s">
        <v>413</v>
      </c>
      <c r="C110" s="15"/>
      <c r="D110" s="15"/>
      <c r="E110" s="15"/>
      <c r="F110" s="43">
        <f>F111</f>
        <v>72200</v>
      </c>
    </row>
    <row r="111" spans="1:6" s="3" customFormat="1" ht="13.5">
      <c r="A111" s="10" t="s">
        <v>411</v>
      </c>
      <c r="B111" s="4" t="s">
        <v>414</v>
      </c>
      <c r="C111" s="4"/>
      <c r="D111" s="4"/>
      <c r="E111" s="4"/>
      <c r="F111" s="44">
        <f>F112</f>
        <v>72200</v>
      </c>
    </row>
    <row r="112" spans="1:6" s="3" customFormat="1" ht="13.5">
      <c r="A112" s="10" t="s">
        <v>412</v>
      </c>
      <c r="B112" s="4" t="s">
        <v>415</v>
      </c>
      <c r="C112" s="4"/>
      <c r="D112" s="4"/>
      <c r="E112" s="4"/>
      <c r="F112" s="44">
        <f>F113+F114</f>
        <v>72200</v>
      </c>
    </row>
    <row r="113" spans="1:6" s="3" customFormat="1" ht="38.25">
      <c r="A113" s="10" t="s">
        <v>365</v>
      </c>
      <c r="B113" s="4" t="s">
        <v>416</v>
      </c>
      <c r="C113" s="4" t="s">
        <v>194</v>
      </c>
      <c r="D113" s="4" t="s">
        <v>182</v>
      </c>
      <c r="E113" s="4" t="s">
        <v>176</v>
      </c>
      <c r="F113" s="44">
        <v>12200</v>
      </c>
    </row>
    <row r="114" spans="1:6" s="3" customFormat="1" ht="25.5">
      <c r="A114" s="10" t="s">
        <v>480</v>
      </c>
      <c r="B114" s="4" t="s">
        <v>481</v>
      </c>
      <c r="C114" s="4" t="s">
        <v>200</v>
      </c>
      <c r="D114" s="4" t="s">
        <v>185</v>
      </c>
      <c r="E114" s="4" t="s">
        <v>178</v>
      </c>
      <c r="F114" s="44">
        <v>60000</v>
      </c>
    </row>
    <row r="115" spans="1:6" s="3" customFormat="1" ht="25.5">
      <c r="A115" s="16" t="s">
        <v>556</v>
      </c>
      <c r="B115" s="15" t="s">
        <v>559</v>
      </c>
      <c r="C115" s="15"/>
      <c r="D115" s="15"/>
      <c r="E115" s="15"/>
      <c r="F115" s="43">
        <f>F116</f>
        <v>2191625.9699999997</v>
      </c>
    </row>
    <row r="116" spans="1:6" s="3" customFormat="1" ht="25.5">
      <c r="A116" s="25" t="s">
        <v>557</v>
      </c>
      <c r="B116" s="4" t="s">
        <v>560</v>
      </c>
      <c r="C116" s="4"/>
      <c r="D116" s="4"/>
      <c r="E116" s="4"/>
      <c r="F116" s="44">
        <f>F117</f>
        <v>2191625.9699999997</v>
      </c>
    </row>
    <row r="117" spans="1:6" s="3" customFormat="1" ht="13.5">
      <c r="A117" s="10" t="s">
        <v>558</v>
      </c>
      <c r="B117" s="4" t="s">
        <v>561</v>
      </c>
      <c r="C117" s="4"/>
      <c r="D117" s="4"/>
      <c r="E117" s="4"/>
      <c r="F117" s="44">
        <f>F118+F119</f>
        <v>2191625.9699999997</v>
      </c>
    </row>
    <row r="118" spans="1:6" s="5" customFormat="1" ht="26.25" customHeight="1">
      <c r="A118" s="9" t="s">
        <v>42</v>
      </c>
      <c r="B118" s="4" t="s">
        <v>562</v>
      </c>
      <c r="C118" s="4" t="s">
        <v>194</v>
      </c>
      <c r="D118" s="4" t="s">
        <v>181</v>
      </c>
      <c r="E118" s="4" t="s">
        <v>181</v>
      </c>
      <c r="F118" s="44">
        <v>2041625.97</v>
      </c>
    </row>
    <row r="119" spans="1:6" s="3" customFormat="1" ht="29.25" customHeight="1">
      <c r="A119" s="17" t="s">
        <v>241</v>
      </c>
      <c r="B119" s="4" t="s">
        <v>240</v>
      </c>
      <c r="C119" s="4" t="s">
        <v>198</v>
      </c>
      <c r="D119" s="4" t="s">
        <v>181</v>
      </c>
      <c r="E119" s="4" t="s">
        <v>181</v>
      </c>
      <c r="F119" s="44">
        <v>150000</v>
      </c>
    </row>
    <row r="120" spans="1:6" s="3" customFormat="1" ht="32.25" customHeight="1">
      <c r="A120" s="27" t="s">
        <v>592</v>
      </c>
      <c r="B120" s="15" t="s">
        <v>88</v>
      </c>
      <c r="C120" s="15"/>
      <c r="D120" s="15"/>
      <c r="E120" s="15"/>
      <c r="F120" s="43">
        <f>SUM(F121)</f>
        <v>3859645</v>
      </c>
    </row>
    <row r="121" spans="1:6" s="3" customFormat="1" ht="13.5">
      <c r="A121" s="10" t="s">
        <v>158</v>
      </c>
      <c r="B121" s="4" t="s">
        <v>89</v>
      </c>
      <c r="C121" s="4"/>
      <c r="D121" s="4"/>
      <c r="E121" s="4"/>
      <c r="F121" s="44">
        <f>F122+F124+F125+F123</f>
        <v>3859645</v>
      </c>
    </row>
    <row r="122" spans="1:6" s="3" customFormat="1" ht="38.25">
      <c r="A122" s="10" t="s">
        <v>482</v>
      </c>
      <c r="B122" s="4" t="s">
        <v>483</v>
      </c>
      <c r="C122" s="4" t="s">
        <v>194</v>
      </c>
      <c r="D122" s="4" t="s">
        <v>184</v>
      </c>
      <c r="E122" s="4" t="s">
        <v>178</v>
      </c>
      <c r="F122" s="44">
        <v>1994890</v>
      </c>
    </row>
    <row r="123" spans="1:6" s="3" customFormat="1" ht="13.5">
      <c r="A123" s="10"/>
      <c r="B123" s="4" t="s">
        <v>108</v>
      </c>
      <c r="C123" s="4" t="s">
        <v>194</v>
      </c>
      <c r="D123" s="4" t="s">
        <v>179</v>
      </c>
      <c r="E123" s="4" t="s">
        <v>181</v>
      </c>
      <c r="F123" s="44">
        <v>768810</v>
      </c>
    </row>
    <row r="124" spans="1:6" s="3" customFormat="1" ht="29.25" customHeight="1">
      <c r="A124" s="8" t="s">
        <v>91</v>
      </c>
      <c r="B124" s="4" t="s">
        <v>90</v>
      </c>
      <c r="C124" s="4" t="s">
        <v>194</v>
      </c>
      <c r="D124" s="4" t="s">
        <v>182</v>
      </c>
      <c r="E124" s="4" t="s">
        <v>176</v>
      </c>
      <c r="F124" s="44">
        <v>100000</v>
      </c>
    </row>
    <row r="125" spans="1:6" s="3" customFormat="1" ht="38.25">
      <c r="A125" s="8" t="s">
        <v>484</v>
      </c>
      <c r="B125" s="4" t="s">
        <v>485</v>
      </c>
      <c r="C125" s="4" t="s">
        <v>194</v>
      </c>
      <c r="D125" s="4" t="s">
        <v>184</v>
      </c>
      <c r="E125" s="4" t="s">
        <v>178</v>
      </c>
      <c r="F125" s="44">
        <v>995945</v>
      </c>
    </row>
    <row r="126" spans="1:6" s="3" customFormat="1" ht="25.5">
      <c r="A126" s="27" t="s">
        <v>593</v>
      </c>
      <c r="B126" s="15" t="s">
        <v>446</v>
      </c>
      <c r="C126" s="15"/>
      <c r="D126" s="15"/>
      <c r="E126" s="15"/>
      <c r="F126" s="43">
        <f>F127+F130+F135+F142+F145</f>
        <v>34911060</v>
      </c>
    </row>
    <row r="127" spans="1:6" s="3" customFormat="1" ht="25.5">
      <c r="A127" s="26" t="s">
        <v>445</v>
      </c>
      <c r="B127" s="4" t="s">
        <v>447</v>
      </c>
      <c r="C127" s="4"/>
      <c r="D127" s="4"/>
      <c r="E127" s="4"/>
      <c r="F127" s="44">
        <f>F128</f>
        <v>10032000</v>
      </c>
    </row>
    <row r="128" spans="1:6" s="3" customFormat="1" ht="16.5" customHeight="1">
      <c r="A128" s="17" t="s">
        <v>192</v>
      </c>
      <c r="B128" s="4" t="s">
        <v>448</v>
      </c>
      <c r="C128" s="4"/>
      <c r="D128" s="4"/>
      <c r="E128" s="4"/>
      <c r="F128" s="44">
        <f>F129</f>
        <v>10032000</v>
      </c>
    </row>
    <row r="129" spans="1:6" s="3" customFormat="1" ht="25.5">
      <c r="A129" s="26" t="s">
        <v>20</v>
      </c>
      <c r="B129" s="4" t="s">
        <v>449</v>
      </c>
      <c r="C129" s="4" t="s">
        <v>200</v>
      </c>
      <c r="D129" s="4" t="s">
        <v>185</v>
      </c>
      <c r="E129" s="4" t="s">
        <v>178</v>
      </c>
      <c r="F129" s="44">
        <f>8050000+1982000</f>
        <v>10032000</v>
      </c>
    </row>
    <row r="130" spans="1:6" s="3" customFormat="1" ht="38.25">
      <c r="A130" s="17" t="s">
        <v>502</v>
      </c>
      <c r="B130" s="4" t="s">
        <v>450</v>
      </c>
      <c r="C130" s="4"/>
      <c r="D130" s="4"/>
      <c r="E130" s="4"/>
      <c r="F130" s="44">
        <f>F131+F133</f>
        <v>23650116</v>
      </c>
    </row>
    <row r="131" spans="1:6" s="3" customFormat="1" ht="15.75" customHeight="1">
      <c r="A131" s="17" t="s">
        <v>192</v>
      </c>
      <c r="B131" s="4" t="s">
        <v>451</v>
      </c>
      <c r="C131" s="4"/>
      <c r="D131" s="4"/>
      <c r="E131" s="4"/>
      <c r="F131" s="44">
        <f>F132</f>
        <v>20979716</v>
      </c>
    </row>
    <row r="132" spans="1:6" s="3" customFormat="1" ht="25.5">
      <c r="A132" s="17" t="s">
        <v>19</v>
      </c>
      <c r="B132" s="4" t="s">
        <v>452</v>
      </c>
      <c r="C132" s="4" t="s">
        <v>200</v>
      </c>
      <c r="D132" s="4" t="s">
        <v>187</v>
      </c>
      <c r="E132" s="4" t="s">
        <v>178</v>
      </c>
      <c r="F132" s="44">
        <v>20979716</v>
      </c>
    </row>
    <row r="133" spans="1:6" s="3" customFormat="1" ht="13.5">
      <c r="A133" s="17" t="s">
        <v>349</v>
      </c>
      <c r="B133" s="4" t="s">
        <v>507</v>
      </c>
      <c r="C133" s="4"/>
      <c r="D133" s="4"/>
      <c r="E133" s="4"/>
      <c r="F133" s="44">
        <f>F134</f>
        <v>2670400</v>
      </c>
    </row>
    <row r="134" spans="1:6" s="3" customFormat="1" ht="13.5" customHeight="1">
      <c r="A134" s="17" t="s">
        <v>19</v>
      </c>
      <c r="B134" s="4" t="s">
        <v>503</v>
      </c>
      <c r="C134" s="4" t="s">
        <v>200</v>
      </c>
      <c r="D134" s="4" t="s">
        <v>187</v>
      </c>
      <c r="E134" s="4" t="s">
        <v>178</v>
      </c>
      <c r="F134" s="44">
        <v>2670400</v>
      </c>
    </row>
    <row r="135" spans="1:6" s="3" customFormat="1" ht="13.5">
      <c r="A135" s="17" t="s">
        <v>506</v>
      </c>
      <c r="B135" s="4" t="s">
        <v>504</v>
      </c>
      <c r="C135" s="4"/>
      <c r="D135" s="4"/>
      <c r="E135" s="4"/>
      <c r="F135" s="44">
        <f>SUM(F136:F141)</f>
        <v>720944</v>
      </c>
    </row>
    <row r="136" spans="1:6" s="3" customFormat="1" ht="38.25">
      <c r="A136" s="17" t="s">
        <v>571</v>
      </c>
      <c r="B136" s="4" t="s">
        <v>505</v>
      </c>
      <c r="C136" s="4" t="s">
        <v>193</v>
      </c>
      <c r="D136" s="4" t="s">
        <v>187</v>
      </c>
      <c r="E136" s="4" t="s">
        <v>178</v>
      </c>
      <c r="F136" s="44">
        <v>77680</v>
      </c>
    </row>
    <row r="137" spans="1:6" s="3" customFormat="1" ht="25.5">
      <c r="A137" s="17" t="s">
        <v>43</v>
      </c>
      <c r="B137" s="4" t="s">
        <v>505</v>
      </c>
      <c r="C137" s="4" t="s">
        <v>194</v>
      </c>
      <c r="D137" s="4" t="s">
        <v>187</v>
      </c>
      <c r="E137" s="4" t="s">
        <v>178</v>
      </c>
      <c r="F137" s="44">
        <v>497311.1</v>
      </c>
    </row>
    <row r="138" spans="1:6" s="3" customFormat="1" ht="25.5">
      <c r="A138" s="17" t="s">
        <v>329</v>
      </c>
      <c r="B138" s="4" t="s">
        <v>505</v>
      </c>
      <c r="C138" s="4" t="s">
        <v>198</v>
      </c>
      <c r="D138" s="4" t="s">
        <v>187</v>
      </c>
      <c r="E138" s="4" t="s">
        <v>178</v>
      </c>
      <c r="F138" s="44">
        <v>23000</v>
      </c>
    </row>
    <row r="139" spans="1:6" s="3" customFormat="1" ht="25.5">
      <c r="A139" s="17" t="s">
        <v>328</v>
      </c>
      <c r="B139" s="4" t="s">
        <v>505</v>
      </c>
      <c r="C139" s="4" t="s">
        <v>200</v>
      </c>
      <c r="D139" s="4" t="s">
        <v>187</v>
      </c>
      <c r="E139" s="4" t="s">
        <v>178</v>
      </c>
      <c r="F139" s="44">
        <v>75328.9</v>
      </c>
    </row>
    <row r="140" spans="1:6" s="3" customFormat="1" ht="24" customHeight="1">
      <c r="A140" s="17" t="s">
        <v>456</v>
      </c>
      <c r="B140" s="4" t="s">
        <v>508</v>
      </c>
      <c r="C140" s="4" t="s">
        <v>194</v>
      </c>
      <c r="D140" s="4" t="s">
        <v>187</v>
      </c>
      <c r="E140" s="4" t="s">
        <v>178</v>
      </c>
      <c r="F140" s="44">
        <v>13144</v>
      </c>
    </row>
    <row r="141" spans="1:6" s="3" customFormat="1" ht="17.25" customHeight="1">
      <c r="A141" s="17" t="s">
        <v>136</v>
      </c>
      <c r="B141" s="4" t="s">
        <v>508</v>
      </c>
      <c r="C141" s="4" t="s">
        <v>198</v>
      </c>
      <c r="D141" s="4" t="s">
        <v>187</v>
      </c>
      <c r="E141" s="4" t="s">
        <v>178</v>
      </c>
      <c r="F141" s="44">
        <v>34480</v>
      </c>
    </row>
    <row r="142" spans="1:6" s="3" customFormat="1" ht="25.5">
      <c r="A142" s="10" t="s">
        <v>574</v>
      </c>
      <c r="B142" s="4" t="s">
        <v>509</v>
      </c>
      <c r="C142" s="4"/>
      <c r="D142" s="4"/>
      <c r="E142" s="4"/>
      <c r="F142" s="44">
        <f>F143</f>
        <v>283000</v>
      </c>
    </row>
    <row r="143" spans="1:6" s="3" customFormat="1" ht="15" customHeight="1">
      <c r="A143" s="17" t="s">
        <v>349</v>
      </c>
      <c r="B143" s="4" t="s">
        <v>510</v>
      </c>
      <c r="C143" s="4"/>
      <c r="D143" s="4"/>
      <c r="E143" s="4"/>
      <c r="F143" s="44">
        <f>F144</f>
        <v>283000</v>
      </c>
    </row>
    <row r="144" spans="1:6" s="3" customFormat="1" ht="27.75" customHeight="1">
      <c r="A144" s="17" t="s">
        <v>19</v>
      </c>
      <c r="B144" s="4" t="s">
        <v>511</v>
      </c>
      <c r="C144" s="4" t="s">
        <v>200</v>
      </c>
      <c r="D144" s="4" t="s">
        <v>187</v>
      </c>
      <c r="E144" s="4" t="s">
        <v>178</v>
      </c>
      <c r="F144" s="44">
        <v>283000</v>
      </c>
    </row>
    <row r="145" spans="1:6" s="3" customFormat="1" ht="38.25">
      <c r="A145" s="10" t="s">
        <v>512</v>
      </c>
      <c r="B145" s="4" t="s">
        <v>513</v>
      </c>
      <c r="C145" s="4"/>
      <c r="D145" s="4"/>
      <c r="E145" s="4"/>
      <c r="F145" s="44">
        <f>F146</f>
        <v>225000</v>
      </c>
    </row>
    <row r="146" spans="1:6" s="5" customFormat="1" ht="27" customHeight="1">
      <c r="A146" s="17" t="s">
        <v>103</v>
      </c>
      <c r="B146" s="4" t="s">
        <v>104</v>
      </c>
      <c r="C146" s="4" t="s">
        <v>200</v>
      </c>
      <c r="D146" s="4" t="s">
        <v>187</v>
      </c>
      <c r="E146" s="4" t="s">
        <v>178</v>
      </c>
      <c r="F146" s="44">
        <v>225000</v>
      </c>
    </row>
    <row r="147" spans="1:6" s="3" customFormat="1" ht="28.5" customHeight="1">
      <c r="A147" s="19" t="s">
        <v>591</v>
      </c>
      <c r="B147" s="15" t="s">
        <v>331</v>
      </c>
      <c r="C147" s="31"/>
      <c r="D147" s="31"/>
      <c r="E147" s="31"/>
      <c r="F147" s="43">
        <f>F148</f>
        <v>2300000</v>
      </c>
    </row>
    <row r="148" spans="1:6" s="3" customFormat="1" ht="18" customHeight="1">
      <c r="A148" s="22" t="s">
        <v>158</v>
      </c>
      <c r="B148" s="4" t="s">
        <v>332</v>
      </c>
      <c r="C148" s="4"/>
      <c r="D148" s="4"/>
      <c r="E148" s="4"/>
      <c r="F148" s="44">
        <f>F149</f>
        <v>2300000</v>
      </c>
    </row>
    <row r="149" spans="1:6" s="3" customFormat="1" ht="23.25" customHeight="1">
      <c r="A149" s="8" t="s">
        <v>334</v>
      </c>
      <c r="B149" s="4" t="s">
        <v>333</v>
      </c>
      <c r="C149" s="4" t="s">
        <v>194</v>
      </c>
      <c r="D149" s="4" t="s">
        <v>184</v>
      </c>
      <c r="E149" s="4" t="s">
        <v>177</v>
      </c>
      <c r="F149" s="44">
        <v>2300000</v>
      </c>
    </row>
    <row r="150" spans="1:6" s="3" customFormat="1" ht="25.5">
      <c r="A150" s="19" t="s">
        <v>594</v>
      </c>
      <c r="B150" s="15" t="s">
        <v>369</v>
      </c>
      <c r="C150" s="31"/>
      <c r="D150" s="31"/>
      <c r="E150" s="31"/>
      <c r="F150" s="43">
        <f>F151</f>
        <v>200000</v>
      </c>
    </row>
    <row r="151" spans="1:6" s="3" customFormat="1" ht="20.25" customHeight="1">
      <c r="A151" s="8" t="s">
        <v>549</v>
      </c>
      <c r="B151" s="4" t="s">
        <v>370</v>
      </c>
      <c r="C151" s="4"/>
      <c r="D151" s="4"/>
      <c r="E151" s="4"/>
      <c r="F151" s="44">
        <f>F152</f>
        <v>200000</v>
      </c>
    </row>
    <row r="152" spans="1:6" s="3" customFormat="1" ht="42" customHeight="1">
      <c r="A152" s="8" t="s">
        <v>373</v>
      </c>
      <c r="B152" s="4" t="s">
        <v>371</v>
      </c>
      <c r="C152" s="4" t="s">
        <v>200</v>
      </c>
      <c r="D152" s="4" t="s">
        <v>177</v>
      </c>
      <c r="E152" s="4" t="s">
        <v>372</v>
      </c>
      <c r="F152" s="44">
        <v>200000</v>
      </c>
    </row>
    <row r="153" spans="1:6" s="3" customFormat="1" ht="25.5">
      <c r="A153" s="19" t="s">
        <v>595</v>
      </c>
      <c r="B153" s="15" t="s">
        <v>358</v>
      </c>
      <c r="C153" s="15"/>
      <c r="D153" s="15"/>
      <c r="E153" s="15"/>
      <c r="F153" s="43">
        <f>F154+F158+F161+F164+F170+F175</f>
        <v>58476047.68</v>
      </c>
    </row>
    <row r="154" spans="1:6" s="3" customFormat="1" ht="25.5">
      <c r="A154" s="17" t="s">
        <v>357</v>
      </c>
      <c r="B154" s="4" t="s">
        <v>359</v>
      </c>
      <c r="C154" s="4"/>
      <c r="D154" s="4"/>
      <c r="E154" s="4"/>
      <c r="F154" s="44">
        <f>F155</f>
        <v>28195094.08</v>
      </c>
    </row>
    <row r="155" spans="1:6" s="3" customFormat="1" ht="13.5" customHeight="1">
      <c r="A155" s="17" t="s">
        <v>192</v>
      </c>
      <c r="B155" s="4" t="s">
        <v>360</v>
      </c>
      <c r="C155" s="4"/>
      <c r="D155" s="4"/>
      <c r="E155" s="4"/>
      <c r="F155" s="44">
        <f>SUM(F156:F157)</f>
        <v>28195094.08</v>
      </c>
    </row>
    <row r="156" spans="1:6" s="3" customFormat="1" ht="38.25">
      <c r="A156" s="17" t="s">
        <v>486</v>
      </c>
      <c r="B156" s="4" t="s">
        <v>366</v>
      </c>
      <c r="C156" s="4" t="s">
        <v>200</v>
      </c>
      <c r="D156" s="4" t="s">
        <v>185</v>
      </c>
      <c r="E156" s="4" t="s">
        <v>178</v>
      </c>
      <c r="F156" s="44">
        <v>645840</v>
      </c>
    </row>
    <row r="157" spans="1:6" s="29" customFormat="1" ht="25.5">
      <c r="A157" s="9" t="s">
        <v>21</v>
      </c>
      <c r="B157" s="4" t="s">
        <v>361</v>
      </c>
      <c r="C157" s="4" t="s">
        <v>200</v>
      </c>
      <c r="D157" s="4" t="s">
        <v>185</v>
      </c>
      <c r="E157" s="4" t="s">
        <v>178</v>
      </c>
      <c r="F157" s="44">
        <f>26509371+1039883.08</f>
        <v>27549254.08</v>
      </c>
    </row>
    <row r="158" spans="1:6" s="3" customFormat="1" ht="38.25">
      <c r="A158" s="17" t="s">
        <v>362</v>
      </c>
      <c r="B158" s="4" t="s">
        <v>363</v>
      </c>
      <c r="C158" s="4"/>
      <c r="D158" s="4"/>
      <c r="E158" s="4"/>
      <c r="F158" s="44">
        <f>F159</f>
        <v>3394410.28</v>
      </c>
    </row>
    <row r="159" spans="1:6" s="3" customFormat="1" ht="18" customHeight="1">
      <c r="A159" s="17" t="s">
        <v>192</v>
      </c>
      <c r="B159" s="4" t="s">
        <v>387</v>
      </c>
      <c r="C159" s="4"/>
      <c r="D159" s="4"/>
      <c r="E159" s="4"/>
      <c r="F159" s="44">
        <f>F160</f>
        <v>3394410.28</v>
      </c>
    </row>
    <row r="160" spans="1:6" s="3" customFormat="1" ht="25.5">
      <c r="A160" s="9" t="s">
        <v>22</v>
      </c>
      <c r="B160" s="4" t="s">
        <v>388</v>
      </c>
      <c r="C160" s="4" t="s">
        <v>200</v>
      </c>
      <c r="D160" s="4" t="s">
        <v>185</v>
      </c>
      <c r="E160" s="4" t="s">
        <v>178</v>
      </c>
      <c r="F160" s="44">
        <v>3394410.28</v>
      </c>
    </row>
    <row r="161" spans="1:6" s="3" customFormat="1" ht="25.5">
      <c r="A161" s="17" t="s">
        <v>389</v>
      </c>
      <c r="B161" s="4" t="s">
        <v>390</v>
      </c>
      <c r="C161" s="4"/>
      <c r="D161" s="4"/>
      <c r="E161" s="4"/>
      <c r="F161" s="44">
        <f>F162</f>
        <v>10441022.24</v>
      </c>
    </row>
    <row r="162" spans="1:6" s="3" customFormat="1" ht="14.25" customHeight="1">
      <c r="A162" s="17" t="s">
        <v>192</v>
      </c>
      <c r="B162" s="4" t="s">
        <v>391</v>
      </c>
      <c r="C162" s="4"/>
      <c r="D162" s="4"/>
      <c r="E162" s="4"/>
      <c r="F162" s="44">
        <f>F163</f>
        <v>10441022.24</v>
      </c>
    </row>
    <row r="163" spans="1:6" s="3" customFormat="1" ht="25.5">
      <c r="A163" s="9" t="s">
        <v>23</v>
      </c>
      <c r="B163" s="4" t="s">
        <v>392</v>
      </c>
      <c r="C163" s="4" t="s">
        <v>200</v>
      </c>
      <c r="D163" s="4" t="s">
        <v>185</v>
      </c>
      <c r="E163" s="4" t="s">
        <v>178</v>
      </c>
      <c r="F163" s="44">
        <f>10320846+120176.24</f>
        <v>10441022.24</v>
      </c>
    </row>
    <row r="164" spans="1:6" s="3" customFormat="1" ht="13.5">
      <c r="A164" s="9" t="s">
        <v>393</v>
      </c>
      <c r="B164" s="4" t="s">
        <v>394</v>
      </c>
      <c r="C164" s="4"/>
      <c r="D164" s="4"/>
      <c r="E164" s="4"/>
      <c r="F164" s="45">
        <f>F165</f>
        <v>1762260</v>
      </c>
    </row>
    <row r="165" spans="1:6" s="3" customFormat="1" ht="13.5">
      <c r="A165" s="17" t="s">
        <v>349</v>
      </c>
      <c r="B165" s="4" t="s">
        <v>395</v>
      </c>
      <c r="C165" s="4"/>
      <c r="D165" s="4"/>
      <c r="E165" s="4"/>
      <c r="F165" s="44">
        <f>SUM(F168:F169)+F166+F167</f>
        <v>1762260</v>
      </c>
    </row>
    <row r="166" spans="1:6" s="3" customFormat="1" ht="13.5">
      <c r="A166" s="17" t="s">
        <v>487</v>
      </c>
      <c r="B166" s="4" t="s">
        <v>400</v>
      </c>
      <c r="C166" s="4" t="s">
        <v>198</v>
      </c>
      <c r="D166" s="4" t="s">
        <v>185</v>
      </c>
      <c r="E166" s="4" t="s">
        <v>176</v>
      </c>
      <c r="F166" s="44">
        <v>500274</v>
      </c>
    </row>
    <row r="167" spans="1:6" s="3" customFormat="1" ht="25.5">
      <c r="A167" s="17" t="s">
        <v>87</v>
      </c>
      <c r="B167" s="4" t="s">
        <v>400</v>
      </c>
      <c r="C167" s="4" t="s">
        <v>200</v>
      </c>
      <c r="D167" s="4" t="s">
        <v>185</v>
      </c>
      <c r="E167" s="4" t="s">
        <v>178</v>
      </c>
      <c r="F167" s="44">
        <v>1194196</v>
      </c>
    </row>
    <row r="168" spans="1:6" s="3" customFormat="1" ht="25.5">
      <c r="A168" s="17" t="s">
        <v>488</v>
      </c>
      <c r="B168" s="4" t="s">
        <v>400</v>
      </c>
      <c r="C168" s="4" t="s">
        <v>194</v>
      </c>
      <c r="D168" s="4" t="s">
        <v>185</v>
      </c>
      <c r="E168" s="4" t="s">
        <v>181</v>
      </c>
      <c r="F168" s="44">
        <f>54200+7843</f>
        <v>62043</v>
      </c>
    </row>
    <row r="169" spans="1:6" s="3" customFormat="1" ht="16.5" customHeight="1">
      <c r="A169" s="17" t="s">
        <v>487</v>
      </c>
      <c r="B169" s="4" t="s">
        <v>400</v>
      </c>
      <c r="C169" s="4" t="s">
        <v>198</v>
      </c>
      <c r="D169" s="4" t="s">
        <v>185</v>
      </c>
      <c r="E169" s="4" t="s">
        <v>181</v>
      </c>
      <c r="F169" s="44">
        <v>5747</v>
      </c>
    </row>
    <row r="170" spans="1:6" s="3" customFormat="1" ht="27" customHeight="1">
      <c r="A170" s="17" t="s">
        <v>401</v>
      </c>
      <c r="B170" s="4" t="s">
        <v>565</v>
      </c>
      <c r="C170" s="4"/>
      <c r="D170" s="4"/>
      <c r="E170" s="4"/>
      <c r="F170" s="44">
        <f>F171</f>
        <v>4490844.47</v>
      </c>
    </row>
    <row r="171" spans="1:6" s="5" customFormat="1" ht="12.75" customHeight="1">
      <c r="A171" s="17" t="s">
        <v>349</v>
      </c>
      <c r="B171" s="4" t="s">
        <v>566</v>
      </c>
      <c r="C171" s="4"/>
      <c r="D171" s="4"/>
      <c r="E171" s="4"/>
      <c r="F171" s="44">
        <f>F172+F173+F174</f>
        <v>4490844.47</v>
      </c>
    </row>
    <row r="172" spans="1:6" s="5" customFormat="1" ht="27.75" customHeight="1">
      <c r="A172" s="17" t="s">
        <v>324</v>
      </c>
      <c r="B172" s="4" t="s">
        <v>367</v>
      </c>
      <c r="C172" s="4" t="s">
        <v>194</v>
      </c>
      <c r="D172" s="4" t="s">
        <v>185</v>
      </c>
      <c r="E172" s="4" t="s">
        <v>185</v>
      </c>
      <c r="F172" s="44">
        <v>156240</v>
      </c>
    </row>
    <row r="173" spans="1:6" s="3" customFormat="1" ht="14.25" customHeight="1">
      <c r="A173" s="17" t="s">
        <v>377</v>
      </c>
      <c r="B173" s="4" t="s">
        <v>367</v>
      </c>
      <c r="C173" s="4" t="s">
        <v>200</v>
      </c>
      <c r="D173" s="4" t="s">
        <v>185</v>
      </c>
      <c r="E173" s="4" t="s">
        <v>185</v>
      </c>
      <c r="F173" s="44">
        <f>3884310.81+78216.5</f>
        <v>3962527.31</v>
      </c>
    </row>
    <row r="174" spans="1:6" s="3" customFormat="1" ht="25.5">
      <c r="A174" s="17" t="s">
        <v>378</v>
      </c>
      <c r="B174" s="4" t="s">
        <v>376</v>
      </c>
      <c r="C174" s="4" t="s">
        <v>200</v>
      </c>
      <c r="D174" s="4" t="s">
        <v>185</v>
      </c>
      <c r="E174" s="4" t="s">
        <v>185</v>
      </c>
      <c r="F174" s="44">
        <v>372077.16</v>
      </c>
    </row>
    <row r="175" spans="1:6" s="3" customFormat="1" ht="25.5">
      <c r="A175" s="17" t="s">
        <v>25</v>
      </c>
      <c r="B175" s="4" t="s">
        <v>398</v>
      </c>
      <c r="C175" s="4"/>
      <c r="D175" s="4"/>
      <c r="E175" s="4"/>
      <c r="F175" s="44">
        <f>F176</f>
        <v>10192416.61</v>
      </c>
    </row>
    <row r="176" spans="1:6" s="3" customFormat="1" ht="13.5">
      <c r="A176" s="17" t="s">
        <v>349</v>
      </c>
      <c r="B176" s="4" t="s">
        <v>399</v>
      </c>
      <c r="C176" s="4"/>
      <c r="D176" s="4"/>
      <c r="E176" s="4"/>
      <c r="F176" s="44">
        <f>SUM(F177:F178)</f>
        <v>10192416.61</v>
      </c>
    </row>
    <row r="177" spans="1:6" s="3" customFormat="1" ht="27" customHeight="1">
      <c r="A177" s="17" t="s">
        <v>24</v>
      </c>
      <c r="B177" s="4" t="s">
        <v>402</v>
      </c>
      <c r="C177" s="4" t="s">
        <v>200</v>
      </c>
      <c r="D177" s="4" t="s">
        <v>185</v>
      </c>
      <c r="E177" s="4" t="s">
        <v>176</v>
      </c>
      <c r="F177" s="44">
        <v>6173702.74</v>
      </c>
    </row>
    <row r="178" spans="1:6" s="3" customFormat="1" ht="30" customHeight="1">
      <c r="A178" s="17" t="s">
        <v>24</v>
      </c>
      <c r="B178" s="4" t="s">
        <v>402</v>
      </c>
      <c r="C178" s="4" t="s">
        <v>200</v>
      </c>
      <c r="D178" s="4" t="s">
        <v>185</v>
      </c>
      <c r="E178" s="4" t="s">
        <v>178</v>
      </c>
      <c r="F178" s="44">
        <v>4018713.87</v>
      </c>
    </row>
    <row r="179" spans="1:6" s="3" customFormat="1" ht="25.5">
      <c r="A179" s="20" t="s">
        <v>6</v>
      </c>
      <c r="B179" s="15" t="s">
        <v>350</v>
      </c>
      <c r="C179" s="15"/>
      <c r="D179" s="15"/>
      <c r="E179" s="15"/>
      <c r="F179" s="43">
        <f>SUM(F181+F183)</f>
        <v>35960659.35</v>
      </c>
    </row>
    <row r="180" spans="1:6" s="3" customFormat="1" ht="25.5">
      <c r="A180" s="36" t="s">
        <v>11</v>
      </c>
      <c r="B180" s="4" t="s">
        <v>12</v>
      </c>
      <c r="C180" s="4"/>
      <c r="D180" s="4"/>
      <c r="E180" s="4"/>
      <c r="F180" s="44">
        <f>F181+F183</f>
        <v>35960659.35</v>
      </c>
    </row>
    <row r="181" spans="1:6" s="3" customFormat="1" ht="14.25" customHeight="1">
      <c r="A181" s="17" t="s">
        <v>192</v>
      </c>
      <c r="B181" s="4" t="s">
        <v>13</v>
      </c>
      <c r="C181" s="4"/>
      <c r="D181" s="4"/>
      <c r="E181" s="4"/>
      <c r="F181" s="44">
        <f>SUM(F182)</f>
        <v>33988494.35</v>
      </c>
    </row>
    <row r="182" spans="1:6" s="3" customFormat="1" ht="51">
      <c r="A182" s="10" t="s">
        <v>355</v>
      </c>
      <c r="B182" s="4" t="s">
        <v>351</v>
      </c>
      <c r="C182" s="4" t="s">
        <v>200</v>
      </c>
      <c r="D182" s="4" t="s">
        <v>185</v>
      </c>
      <c r="E182" s="4" t="s">
        <v>176</v>
      </c>
      <c r="F182" s="44">
        <f>32530350+1458144.35</f>
        <v>33988494.35</v>
      </c>
    </row>
    <row r="183" spans="1:6" s="5" customFormat="1" ht="13.5">
      <c r="A183" s="17" t="s">
        <v>349</v>
      </c>
      <c r="B183" s="4" t="s">
        <v>352</v>
      </c>
      <c r="C183" s="4"/>
      <c r="D183" s="4"/>
      <c r="E183" s="4"/>
      <c r="F183" s="44">
        <f>SUM(F184:F187)</f>
        <v>1972165</v>
      </c>
    </row>
    <row r="184" spans="1:6" s="21" customFormat="1" ht="28.5" customHeight="1">
      <c r="A184" s="17" t="s">
        <v>24</v>
      </c>
      <c r="B184" s="4" t="s">
        <v>489</v>
      </c>
      <c r="C184" s="4" t="s">
        <v>200</v>
      </c>
      <c r="D184" s="4" t="s">
        <v>185</v>
      </c>
      <c r="E184" s="4" t="s">
        <v>176</v>
      </c>
      <c r="F184" s="44">
        <v>179826.8</v>
      </c>
    </row>
    <row r="185" spans="1:6" s="3" customFormat="1" ht="25.5">
      <c r="A185" s="10" t="s">
        <v>354</v>
      </c>
      <c r="B185" s="4" t="s">
        <v>353</v>
      </c>
      <c r="C185" s="4" t="s">
        <v>200</v>
      </c>
      <c r="D185" s="4" t="s">
        <v>185</v>
      </c>
      <c r="E185" s="4" t="s">
        <v>176</v>
      </c>
      <c r="F185" s="44">
        <v>1717443.2</v>
      </c>
    </row>
    <row r="186" spans="1:6" s="5" customFormat="1" ht="25.5">
      <c r="A186" s="10" t="s">
        <v>10</v>
      </c>
      <c r="B186" s="4" t="s">
        <v>368</v>
      </c>
      <c r="C186" s="4" t="s">
        <v>200</v>
      </c>
      <c r="D186" s="4" t="s">
        <v>185</v>
      </c>
      <c r="E186" s="4" t="s">
        <v>176</v>
      </c>
      <c r="F186" s="44">
        <v>27230</v>
      </c>
    </row>
    <row r="187" spans="1:6" s="3" customFormat="1" ht="28.5" customHeight="1">
      <c r="A187" s="10" t="s">
        <v>459</v>
      </c>
      <c r="B187" s="4" t="s">
        <v>14</v>
      </c>
      <c r="C187" s="4" t="s">
        <v>198</v>
      </c>
      <c r="D187" s="4" t="s">
        <v>185</v>
      </c>
      <c r="E187" s="4" t="s">
        <v>176</v>
      </c>
      <c r="F187" s="44">
        <v>47665</v>
      </c>
    </row>
    <row r="188" spans="1:6" s="3" customFormat="1" ht="18" customHeight="1">
      <c r="A188" s="23" t="s">
        <v>596</v>
      </c>
      <c r="B188" s="15" t="s">
        <v>274</v>
      </c>
      <c r="C188" s="15"/>
      <c r="D188" s="15"/>
      <c r="E188" s="15"/>
      <c r="F188" s="43">
        <f>F190</f>
        <v>110000</v>
      </c>
    </row>
    <row r="189" spans="1:6" s="3" customFormat="1" ht="18.75" customHeight="1">
      <c r="A189" s="10" t="s">
        <v>158</v>
      </c>
      <c r="B189" s="4" t="s">
        <v>581</v>
      </c>
      <c r="C189" s="4"/>
      <c r="D189" s="4"/>
      <c r="E189" s="4"/>
      <c r="F189" s="44">
        <f>F190</f>
        <v>110000</v>
      </c>
    </row>
    <row r="190" spans="1:6" s="3" customFormat="1" ht="26.25" customHeight="1">
      <c r="A190" s="10" t="s">
        <v>44</v>
      </c>
      <c r="B190" s="4" t="s">
        <v>124</v>
      </c>
      <c r="C190" s="4" t="s">
        <v>194</v>
      </c>
      <c r="D190" s="4" t="s">
        <v>185</v>
      </c>
      <c r="E190" s="4" t="s">
        <v>185</v>
      </c>
      <c r="F190" s="44">
        <v>110000</v>
      </c>
    </row>
    <row r="191" spans="1:6" s="5" customFormat="1" ht="27" customHeight="1">
      <c r="A191" s="16" t="s">
        <v>267</v>
      </c>
      <c r="B191" s="15" t="s">
        <v>270</v>
      </c>
      <c r="C191" s="15"/>
      <c r="D191" s="15"/>
      <c r="E191" s="15"/>
      <c r="F191" s="43">
        <f>F192</f>
        <v>151000</v>
      </c>
    </row>
    <row r="192" spans="1:6" s="3" customFormat="1" ht="33.75" customHeight="1">
      <c r="A192" s="8" t="s">
        <v>268</v>
      </c>
      <c r="B192" s="4" t="s">
        <v>271</v>
      </c>
      <c r="C192" s="4"/>
      <c r="D192" s="4"/>
      <c r="E192" s="4"/>
      <c r="F192" s="44">
        <f>F193</f>
        <v>151000</v>
      </c>
    </row>
    <row r="193" spans="1:6" s="3" customFormat="1" ht="42.75" customHeight="1">
      <c r="A193" s="8" t="s">
        <v>273</v>
      </c>
      <c r="B193" s="4" t="s">
        <v>272</v>
      </c>
      <c r="C193" s="4" t="s">
        <v>196</v>
      </c>
      <c r="D193" s="4" t="s">
        <v>179</v>
      </c>
      <c r="E193" s="4" t="s">
        <v>186</v>
      </c>
      <c r="F193" s="44">
        <v>151000</v>
      </c>
    </row>
    <row r="194" spans="1:6" s="3" customFormat="1" ht="26.25" customHeight="1">
      <c r="A194" s="23" t="s">
        <v>597</v>
      </c>
      <c r="B194" s="15" t="s">
        <v>262</v>
      </c>
      <c r="C194" s="15"/>
      <c r="D194" s="15"/>
      <c r="E194" s="15"/>
      <c r="F194" s="43">
        <f>F195+F197</f>
        <v>5981064.67</v>
      </c>
    </row>
    <row r="195" spans="1:6" s="5" customFormat="1" ht="19.5" customHeight="1">
      <c r="A195" s="22" t="s">
        <v>192</v>
      </c>
      <c r="B195" s="4" t="s">
        <v>263</v>
      </c>
      <c r="C195" s="4"/>
      <c r="D195" s="4"/>
      <c r="E195" s="4"/>
      <c r="F195" s="44">
        <f>F196</f>
        <v>5819864.67</v>
      </c>
    </row>
    <row r="196" spans="1:6" s="3" customFormat="1" ht="41.25" customHeight="1">
      <c r="A196" s="22" t="s">
        <v>27</v>
      </c>
      <c r="B196" s="4" t="s">
        <v>264</v>
      </c>
      <c r="C196" s="4" t="s">
        <v>200</v>
      </c>
      <c r="D196" s="4" t="s">
        <v>176</v>
      </c>
      <c r="E196" s="4" t="s">
        <v>188</v>
      </c>
      <c r="F196" s="44">
        <v>5819864.67</v>
      </c>
    </row>
    <row r="197" spans="1:6" s="3" customFormat="1" ht="15" customHeight="1">
      <c r="A197" s="17" t="s">
        <v>349</v>
      </c>
      <c r="B197" s="4" t="s">
        <v>461</v>
      </c>
      <c r="C197" s="4"/>
      <c r="D197" s="4"/>
      <c r="E197" s="4"/>
      <c r="F197" s="44">
        <f>F198</f>
        <v>161200</v>
      </c>
    </row>
    <row r="198" spans="1:6" s="3" customFormat="1" ht="39" customHeight="1">
      <c r="A198" s="22" t="s">
        <v>27</v>
      </c>
      <c r="B198" s="4" t="s">
        <v>460</v>
      </c>
      <c r="C198" s="4" t="s">
        <v>200</v>
      </c>
      <c r="D198" s="4" t="s">
        <v>176</v>
      </c>
      <c r="E198" s="4" t="s">
        <v>188</v>
      </c>
      <c r="F198" s="44">
        <v>161200</v>
      </c>
    </row>
    <row r="199" spans="1:6" s="3" customFormat="1" ht="26.25" customHeight="1">
      <c r="A199" s="16" t="s">
        <v>536</v>
      </c>
      <c r="B199" s="15" t="s">
        <v>537</v>
      </c>
      <c r="C199" s="15"/>
      <c r="D199" s="15"/>
      <c r="E199" s="15"/>
      <c r="F199" s="43">
        <f>F200</f>
        <v>300000</v>
      </c>
    </row>
    <row r="200" spans="1:6" s="3" customFormat="1" ht="16.5" customHeight="1">
      <c r="A200" s="8" t="s">
        <v>535</v>
      </c>
      <c r="B200" s="4" t="s">
        <v>538</v>
      </c>
      <c r="C200" s="4"/>
      <c r="D200" s="4"/>
      <c r="E200" s="4"/>
      <c r="F200" s="44">
        <f>F201+F202</f>
        <v>300000</v>
      </c>
    </row>
    <row r="201" spans="1:6" s="3" customFormat="1" ht="29.25" customHeight="1">
      <c r="A201" s="8" t="s">
        <v>45</v>
      </c>
      <c r="B201" s="4" t="s">
        <v>539</v>
      </c>
      <c r="C201" s="4" t="s">
        <v>194</v>
      </c>
      <c r="D201" s="4" t="s">
        <v>183</v>
      </c>
      <c r="E201" s="4" t="s">
        <v>180</v>
      </c>
      <c r="F201" s="44">
        <v>225362</v>
      </c>
    </row>
    <row r="202" spans="1:6" s="3" customFormat="1" ht="24" customHeight="1">
      <c r="A202" s="8" t="s">
        <v>137</v>
      </c>
      <c r="B202" s="4" t="s">
        <v>539</v>
      </c>
      <c r="C202" s="4" t="s">
        <v>198</v>
      </c>
      <c r="D202" s="4" t="s">
        <v>183</v>
      </c>
      <c r="E202" s="4" t="s">
        <v>180</v>
      </c>
      <c r="F202" s="44">
        <v>74638</v>
      </c>
    </row>
    <row r="203" spans="1:6" s="3" customFormat="1" ht="31.5" customHeight="1">
      <c r="A203" s="20" t="s">
        <v>598</v>
      </c>
      <c r="B203" s="15" t="s">
        <v>528</v>
      </c>
      <c r="C203" s="15"/>
      <c r="D203" s="15"/>
      <c r="E203" s="15"/>
      <c r="F203" s="43">
        <f>F204+F207+F210+F214</f>
        <v>6552000</v>
      </c>
    </row>
    <row r="204" spans="1:6" s="3" customFormat="1" ht="16.5" customHeight="1">
      <c r="A204" s="10" t="s">
        <v>526</v>
      </c>
      <c r="B204" s="4" t="s">
        <v>529</v>
      </c>
      <c r="C204" s="4"/>
      <c r="D204" s="4"/>
      <c r="E204" s="4"/>
      <c r="F204" s="44">
        <f>F205</f>
        <v>5072000</v>
      </c>
    </row>
    <row r="205" spans="1:6" s="3" customFormat="1" ht="27.75" customHeight="1">
      <c r="A205" s="10" t="s">
        <v>527</v>
      </c>
      <c r="B205" s="4" t="s">
        <v>530</v>
      </c>
      <c r="C205" s="4"/>
      <c r="D205" s="4"/>
      <c r="E205" s="4"/>
      <c r="F205" s="44">
        <f>F206</f>
        <v>5072000</v>
      </c>
    </row>
    <row r="206" spans="1:6" s="3" customFormat="1" ht="29.25" customHeight="1">
      <c r="A206" s="10" t="s">
        <v>138</v>
      </c>
      <c r="B206" s="4" t="s">
        <v>531</v>
      </c>
      <c r="C206" s="4" t="s">
        <v>198</v>
      </c>
      <c r="D206" s="4" t="s">
        <v>183</v>
      </c>
      <c r="E206" s="4" t="s">
        <v>177</v>
      </c>
      <c r="F206" s="44">
        <f>4780000+292000</f>
        <v>5072000</v>
      </c>
    </row>
    <row r="207" spans="1:6" s="3" customFormat="1" ht="30" customHeight="1">
      <c r="A207" s="8" t="s">
        <v>540</v>
      </c>
      <c r="B207" s="4" t="s">
        <v>541</v>
      </c>
      <c r="C207" s="4"/>
      <c r="D207" s="4"/>
      <c r="E207" s="4"/>
      <c r="F207" s="44">
        <f>F208</f>
        <v>729000</v>
      </c>
    </row>
    <row r="208" spans="1:6" s="3" customFormat="1" ht="17.25" customHeight="1">
      <c r="A208" s="8" t="s">
        <v>535</v>
      </c>
      <c r="B208" s="4" t="s">
        <v>542</v>
      </c>
      <c r="C208" s="4"/>
      <c r="D208" s="4"/>
      <c r="E208" s="4"/>
      <c r="F208" s="44">
        <f>F209</f>
        <v>729000</v>
      </c>
    </row>
    <row r="209" spans="1:6" s="3" customFormat="1" ht="24.75" customHeight="1">
      <c r="A209" s="8" t="s">
        <v>139</v>
      </c>
      <c r="B209" s="4" t="s">
        <v>543</v>
      </c>
      <c r="C209" s="4" t="s">
        <v>198</v>
      </c>
      <c r="D209" s="4" t="s">
        <v>183</v>
      </c>
      <c r="E209" s="4" t="s">
        <v>180</v>
      </c>
      <c r="F209" s="44">
        <f>657000+72000</f>
        <v>729000</v>
      </c>
    </row>
    <row r="210" spans="1:6" s="3" customFormat="1" ht="24.75" customHeight="1">
      <c r="A210" s="8" t="s">
        <v>544</v>
      </c>
      <c r="B210" s="4" t="s">
        <v>545</v>
      </c>
      <c r="C210" s="4"/>
      <c r="D210" s="4"/>
      <c r="E210" s="4"/>
      <c r="F210" s="44">
        <f>F211</f>
        <v>396000</v>
      </c>
    </row>
    <row r="211" spans="1:6" s="3" customFormat="1" ht="19.5" customHeight="1">
      <c r="A211" s="8" t="s">
        <v>535</v>
      </c>
      <c r="B211" s="4" t="s">
        <v>546</v>
      </c>
      <c r="C211" s="4"/>
      <c r="D211" s="4"/>
      <c r="E211" s="4"/>
      <c r="F211" s="44">
        <f>F212+F213</f>
        <v>396000</v>
      </c>
    </row>
    <row r="212" spans="1:6" s="3" customFormat="1" ht="17.25" customHeight="1">
      <c r="A212" s="8" t="s">
        <v>140</v>
      </c>
      <c r="B212" s="4" t="s">
        <v>547</v>
      </c>
      <c r="C212" s="4" t="s">
        <v>198</v>
      </c>
      <c r="D212" s="4" t="s">
        <v>183</v>
      </c>
      <c r="E212" s="4" t="s">
        <v>180</v>
      </c>
      <c r="F212" s="44">
        <v>300000</v>
      </c>
    </row>
    <row r="213" spans="1:6" s="3" customFormat="1" ht="25.5" customHeight="1">
      <c r="A213" s="8" t="s">
        <v>46</v>
      </c>
      <c r="B213" s="4" t="s">
        <v>548</v>
      </c>
      <c r="C213" s="4" t="s">
        <v>194</v>
      </c>
      <c r="D213" s="4" t="s">
        <v>183</v>
      </c>
      <c r="E213" s="4" t="s">
        <v>180</v>
      </c>
      <c r="F213" s="44">
        <v>96000</v>
      </c>
    </row>
    <row r="214" spans="1:6" s="3" customFormat="1" ht="18" customHeight="1">
      <c r="A214" s="10" t="s">
        <v>579</v>
      </c>
      <c r="B214" s="4" t="s">
        <v>550</v>
      </c>
      <c r="C214" s="4"/>
      <c r="D214" s="4"/>
      <c r="E214" s="4"/>
      <c r="F214" s="44">
        <f>F215+F218</f>
        <v>355000</v>
      </c>
    </row>
    <row r="215" spans="1:6" s="3" customFormat="1" ht="16.5" customHeight="1">
      <c r="A215" s="8" t="s">
        <v>535</v>
      </c>
      <c r="B215" s="4" t="s">
        <v>575</v>
      </c>
      <c r="C215" s="4"/>
      <c r="D215" s="4"/>
      <c r="E215" s="4"/>
      <c r="F215" s="44">
        <f>F216+F217</f>
        <v>141700</v>
      </c>
    </row>
    <row r="216" spans="1:6" s="5" customFormat="1" ht="24.75" customHeight="1">
      <c r="A216" s="8" t="s">
        <v>141</v>
      </c>
      <c r="B216" s="4" t="s">
        <v>576</v>
      </c>
      <c r="C216" s="4" t="s">
        <v>198</v>
      </c>
      <c r="D216" s="4" t="s">
        <v>183</v>
      </c>
      <c r="E216" s="4" t="s">
        <v>180</v>
      </c>
      <c r="F216" s="44">
        <v>61000</v>
      </c>
    </row>
    <row r="217" spans="1:6" s="5" customFormat="1" ht="24.75" customHeight="1">
      <c r="A217" s="8" t="s">
        <v>578</v>
      </c>
      <c r="B217" s="4" t="s">
        <v>577</v>
      </c>
      <c r="C217" s="4" t="s">
        <v>194</v>
      </c>
      <c r="D217" s="4" t="s">
        <v>183</v>
      </c>
      <c r="E217" s="4" t="s">
        <v>180</v>
      </c>
      <c r="F217" s="44">
        <v>80700</v>
      </c>
    </row>
    <row r="218" spans="1:6" s="5" customFormat="1" ht="17.25" customHeight="1">
      <c r="A218" s="8" t="s">
        <v>549</v>
      </c>
      <c r="B218" s="4" t="s">
        <v>551</v>
      </c>
      <c r="C218" s="4"/>
      <c r="D218" s="4"/>
      <c r="E218" s="4"/>
      <c r="F218" s="44">
        <f>F219</f>
        <v>213300</v>
      </c>
    </row>
    <row r="219" spans="1:6" s="5" customFormat="1" ht="30.75" customHeight="1">
      <c r="A219" s="8" t="s">
        <v>580</v>
      </c>
      <c r="B219" s="4" t="s">
        <v>552</v>
      </c>
      <c r="C219" s="4" t="s">
        <v>200</v>
      </c>
      <c r="D219" s="4" t="s">
        <v>183</v>
      </c>
      <c r="E219" s="4" t="s">
        <v>180</v>
      </c>
      <c r="F219" s="44">
        <v>213300</v>
      </c>
    </row>
    <row r="220" spans="1:6" s="5" customFormat="1" ht="27" customHeight="1">
      <c r="A220" s="27" t="s">
        <v>599</v>
      </c>
      <c r="B220" s="15" t="s">
        <v>374</v>
      </c>
      <c r="C220" s="15"/>
      <c r="D220" s="15"/>
      <c r="E220" s="15"/>
      <c r="F220" s="43">
        <f>F221</f>
        <v>3480000</v>
      </c>
    </row>
    <row r="221" spans="1:6" s="5" customFormat="1" ht="21" customHeight="1">
      <c r="A221" s="8" t="s">
        <v>158</v>
      </c>
      <c r="B221" s="4" t="s">
        <v>375</v>
      </c>
      <c r="C221" s="4"/>
      <c r="D221" s="4"/>
      <c r="E221" s="4"/>
      <c r="F221" s="44">
        <f>F222</f>
        <v>3480000</v>
      </c>
    </row>
    <row r="222" spans="1:6" s="5" customFormat="1" ht="27.75" customHeight="1">
      <c r="A222" s="8" t="s">
        <v>243</v>
      </c>
      <c r="B222" s="4" t="s">
        <v>242</v>
      </c>
      <c r="C222" s="4" t="s">
        <v>194</v>
      </c>
      <c r="D222" s="4" t="s">
        <v>179</v>
      </c>
      <c r="E222" s="4" t="s">
        <v>186</v>
      </c>
      <c r="F222" s="44">
        <v>3480000</v>
      </c>
    </row>
    <row r="223" spans="1:6" s="5" customFormat="1" ht="26.25" customHeight="1">
      <c r="A223" s="28" t="s">
        <v>7</v>
      </c>
      <c r="B223" s="15" t="s">
        <v>344</v>
      </c>
      <c r="C223" s="15"/>
      <c r="D223" s="15"/>
      <c r="E223" s="15"/>
      <c r="F223" s="43">
        <f>SUM(F230+F224)</f>
        <v>3095046.4000000004</v>
      </c>
    </row>
    <row r="224" spans="1:6" s="5" customFormat="1" ht="25.5" customHeight="1">
      <c r="A224" s="10" t="s">
        <v>342</v>
      </c>
      <c r="B224" s="4" t="s">
        <v>345</v>
      </c>
      <c r="C224" s="15"/>
      <c r="D224" s="15"/>
      <c r="E224" s="15"/>
      <c r="F224" s="44">
        <f>SUM(F225)</f>
        <v>965770.14</v>
      </c>
    </row>
    <row r="225" spans="1:6" s="5" customFormat="1" ht="16.5" customHeight="1">
      <c r="A225" s="10" t="s">
        <v>343</v>
      </c>
      <c r="B225" s="4" t="s">
        <v>346</v>
      </c>
      <c r="C225" s="15"/>
      <c r="D225" s="15"/>
      <c r="E225" s="15"/>
      <c r="F225" s="44">
        <f>F226+F227+F228+F229</f>
        <v>965770.14</v>
      </c>
    </row>
    <row r="226" spans="1:6" s="5" customFormat="1" ht="44.25" customHeight="1">
      <c r="A226" s="8" t="s">
        <v>326</v>
      </c>
      <c r="B226" s="4" t="s">
        <v>325</v>
      </c>
      <c r="C226" s="4" t="s">
        <v>198</v>
      </c>
      <c r="D226" s="4" t="s">
        <v>183</v>
      </c>
      <c r="E226" s="4" t="s">
        <v>177</v>
      </c>
      <c r="F226" s="44">
        <v>264039</v>
      </c>
    </row>
    <row r="227" spans="1:6" s="5" customFormat="1" ht="45" customHeight="1">
      <c r="A227" s="10" t="s">
        <v>348</v>
      </c>
      <c r="B227" s="4" t="s">
        <v>347</v>
      </c>
      <c r="C227" s="4" t="s">
        <v>198</v>
      </c>
      <c r="D227" s="4" t="s">
        <v>183</v>
      </c>
      <c r="E227" s="4" t="s">
        <v>177</v>
      </c>
      <c r="F227" s="44">
        <v>227245.8</v>
      </c>
    </row>
    <row r="228" spans="1:6" s="5" customFormat="1" ht="44.25" customHeight="1">
      <c r="A228" s="10" t="s">
        <v>114</v>
      </c>
      <c r="B228" s="4" t="s">
        <v>327</v>
      </c>
      <c r="C228" s="4" t="s">
        <v>198</v>
      </c>
      <c r="D228" s="4" t="s">
        <v>183</v>
      </c>
      <c r="E228" s="4" t="s">
        <v>177</v>
      </c>
      <c r="F228" s="44">
        <v>222406</v>
      </c>
    </row>
    <row r="229" spans="1:6" s="5" customFormat="1" ht="24" customHeight="1">
      <c r="A229" s="10" t="s">
        <v>348</v>
      </c>
      <c r="B229" s="4" t="s">
        <v>115</v>
      </c>
      <c r="C229" s="4" t="s">
        <v>198</v>
      </c>
      <c r="D229" s="4" t="s">
        <v>183</v>
      </c>
      <c r="E229" s="4" t="s">
        <v>177</v>
      </c>
      <c r="F229" s="44">
        <v>252079.34</v>
      </c>
    </row>
    <row r="230" spans="1:6" s="5" customFormat="1" ht="18" customHeight="1">
      <c r="A230" s="7" t="s">
        <v>379</v>
      </c>
      <c r="B230" s="4" t="s">
        <v>380</v>
      </c>
      <c r="C230" s="15"/>
      <c r="D230" s="15"/>
      <c r="E230" s="15"/>
      <c r="F230" s="44">
        <f>SUM(F231+F236)</f>
        <v>2129276.2600000002</v>
      </c>
    </row>
    <row r="231" spans="1:6" s="5" customFormat="1" ht="22.5" customHeight="1">
      <c r="A231" s="22" t="s">
        <v>158</v>
      </c>
      <c r="B231" s="4" t="s">
        <v>86</v>
      </c>
      <c r="C231" s="15"/>
      <c r="D231" s="15"/>
      <c r="E231" s="15"/>
      <c r="F231" s="44">
        <f>SUM(F232:F235)</f>
        <v>1373214.1600000001</v>
      </c>
    </row>
    <row r="232" spans="1:6" s="5" customFormat="1" ht="25.5">
      <c r="A232" s="8" t="s">
        <v>71</v>
      </c>
      <c r="B232" s="4" t="s">
        <v>70</v>
      </c>
      <c r="C232" s="4" t="s">
        <v>194</v>
      </c>
      <c r="D232" s="4" t="s">
        <v>184</v>
      </c>
      <c r="E232" s="4" t="s">
        <v>178</v>
      </c>
      <c r="F232" s="44">
        <v>20649</v>
      </c>
    </row>
    <row r="233" spans="1:6" s="3" customFormat="1" ht="25.5">
      <c r="A233" s="8" t="s">
        <v>72</v>
      </c>
      <c r="B233" s="4" t="s">
        <v>70</v>
      </c>
      <c r="C233" s="4" t="s">
        <v>286</v>
      </c>
      <c r="D233" s="4" t="s">
        <v>184</v>
      </c>
      <c r="E233" s="4" t="s">
        <v>178</v>
      </c>
      <c r="F233" s="44">
        <v>82500</v>
      </c>
    </row>
    <row r="234" spans="1:6" s="3" customFormat="1" ht="25.5">
      <c r="A234" s="22" t="s">
        <v>269</v>
      </c>
      <c r="B234" s="4" t="s">
        <v>8</v>
      </c>
      <c r="C234" s="4" t="s">
        <v>194</v>
      </c>
      <c r="D234" s="4" t="s">
        <v>184</v>
      </c>
      <c r="E234" s="4" t="s">
        <v>178</v>
      </c>
      <c r="F234" s="44">
        <v>993165.16</v>
      </c>
    </row>
    <row r="235" spans="1:6" s="5" customFormat="1" ht="25.5">
      <c r="A235" s="25" t="s">
        <v>76</v>
      </c>
      <c r="B235" s="4" t="s">
        <v>77</v>
      </c>
      <c r="C235" s="4" t="s">
        <v>194</v>
      </c>
      <c r="D235" s="4" t="s">
        <v>184</v>
      </c>
      <c r="E235" s="4" t="s">
        <v>184</v>
      </c>
      <c r="F235" s="44">
        <f>26900+250000</f>
        <v>276900</v>
      </c>
    </row>
    <row r="236" spans="1:6" s="3" customFormat="1" ht="13.5">
      <c r="A236" s="7" t="s">
        <v>282</v>
      </c>
      <c r="B236" s="4" t="s">
        <v>381</v>
      </c>
      <c r="C236" s="4"/>
      <c r="D236" s="4"/>
      <c r="E236" s="4"/>
      <c r="F236" s="44">
        <f>SUM(F237:F238)</f>
        <v>756062.1</v>
      </c>
    </row>
    <row r="237" spans="1:6" s="3" customFormat="1" ht="25.5">
      <c r="A237" s="25" t="s">
        <v>490</v>
      </c>
      <c r="B237" s="4" t="s">
        <v>382</v>
      </c>
      <c r="C237" s="4" t="s">
        <v>286</v>
      </c>
      <c r="D237" s="4" t="s">
        <v>184</v>
      </c>
      <c r="E237" s="4" t="s">
        <v>184</v>
      </c>
      <c r="F237" s="44">
        <v>469509.1</v>
      </c>
    </row>
    <row r="238" spans="1:6" s="5" customFormat="1" ht="27.75" customHeight="1">
      <c r="A238" s="8" t="s">
        <v>73</v>
      </c>
      <c r="B238" s="4" t="s">
        <v>74</v>
      </c>
      <c r="C238" s="4" t="s">
        <v>286</v>
      </c>
      <c r="D238" s="4" t="s">
        <v>184</v>
      </c>
      <c r="E238" s="4" t="s">
        <v>178</v>
      </c>
      <c r="F238" s="44">
        <v>286553</v>
      </c>
    </row>
    <row r="239" spans="1:6" s="3" customFormat="1" ht="16.5" customHeight="1">
      <c r="A239" s="16" t="s">
        <v>600</v>
      </c>
      <c r="B239" s="15" t="s">
        <v>283</v>
      </c>
      <c r="C239" s="15"/>
      <c r="D239" s="15"/>
      <c r="E239" s="15"/>
      <c r="F239" s="43">
        <f>F240</f>
        <v>30000</v>
      </c>
    </row>
    <row r="240" spans="1:6" s="3" customFormat="1" ht="13.5">
      <c r="A240" s="7" t="s">
        <v>282</v>
      </c>
      <c r="B240" s="4" t="s">
        <v>284</v>
      </c>
      <c r="C240" s="4"/>
      <c r="D240" s="4"/>
      <c r="E240" s="4"/>
      <c r="F240" s="44">
        <f>F241</f>
        <v>30000</v>
      </c>
    </row>
    <row r="241" spans="1:6" s="5" customFormat="1" ht="27.75" customHeight="1">
      <c r="A241" s="22" t="s">
        <v>287</v>
      </c>
      <c r="B241" s="4" t="s">
        <v>285</v>
      </c>
      <c r="C241" s="4" t="s">
        <v>286</v>
      </c>
      <c r="D241" s="4" t="s">
        <v>184</v>
      </c>
      <c r="E241" s="4" t="s">
        <v>178</v>
      </c>
      <c r="F241" s="44">
        <v>30000</v>
      </c>
    </row>
    <row r="242" spans="1:6" s="3" customFormat="1" ht="38.25">
      <c r="A242" s="23" t="s">
        <v>0</v>
      </c>
      <c r="B242" s="15" t="s">
        <v>384</v>
      </c>
      <c r="C242" s="15"/>
      <c r="D242" s="15"/>
      <c r="E242" s="15"/>
      <c r="F242" s="43">
        <f>F243</f>
        <v>258910</v>
      </c>
    </row>
    <row r="243" spans="1:6" s="3" customFormat="1" ht="25.5">
      <c r="A243" s="22" t="s">
        <v>383</v>
      </c>
      <c r="B243" s="4" t="s">
        <v>385</v>
      </c>
      <c r="C243" s="4"/>
      <c r="D243" s="4"/>
      <c r="E243" s="4"/>
      <c r="F243" s="44">
        <f>F244</f>
        <v>258910</v>
      </c>
    </row>
    <row r="244" spans="1:6" s="5" customFormat="1" ht="25.5">
      <c r="A244" s="22" t="s">
        <v>386</v>
      </c>
      <c r="B244" s="4" t="s">
        <v>9</v>
      </c>
      <c r="C244" s="4" t="s">
        <v>286</v>
      </c>
      <c r="D244" s="4" t="s">
        <v>184</v>
      </c>
      <c r="E244" s="4" t="s">
        <v>178</v>
      </c>
      <c r="F244" s="44">
        <v>258910</v>
      </c>
    </row>
    <row r="245" spans="1:6" s="5" customFormat="1" ht="38.25">
      <c r="A245" s="23" t="s">
        <v>1</v>
      </c>
      <c r="B245" s="15" t="s">
        <v>159</v>
      </c>
      <c r="C245" s="15"/>
      <c r="D245" s="15"/>
      <c r="E245" s="15"/>
      <c r="F245" s="43">
        <f>F246</f>
        <v>17028449.97</v>
      </c>
    </row>
    <row r="246" spans="1:6" s="3" customFormat="1" ht="13.5">
      <c r="A246" s="22" t="s">
        <v>158</v>
      </c>
      <c r="B246" s="4" t="s">
        <v>160</v>
      </c>
      <c r="C246" s="4"/>
      <c r="D246" s="4"/>
      <c r="E246" s="4"/>
      <c r="F246" s="44">
        <f>F247</f>
        <v>17028449.97</v>
      </c>
    </row>
    <row r="247" spans="1:6" s="3" customFormat="1" ht="25.5">
      <c r="A247" s="22" t="s">
        <v>162</v>
      </c>
      <c r="B247" s="4" t="s">
        <v>161</v>
      </c>
      <c r="C247" s="4" t="s">
        <v>194</v>
      </c>
      <c r="D247" s="4" t="s">
        <v>179</v>
      </c>
      <c r="E247" s="4" t="s">
        <v>181</v>
      </c>
      <c r="F247" s="44">
        <v>17028449.97</v>
      </c>
    </row>
    <row r="248" spans="1:6" s="3" customFormat="1" ht="30.75" customHeight="1">
      <c r="A248" s="20" t="s">
        <v>2</v>
      </c>
      <c r="B248" s="15" t="s">
        <v>338</v>
      </c>
      <c r="C248" s="15"/>
      <c r="D248" s="15"/>
      <c r="E248" s="15"/>
      <c r="F248" s="43">
        <f>F249</f>
        <v>650000</v>
      </c>
    </row>
    <row r="249" spans="1:6" s="3" customFormat="1" ht="13.5">
      <c r="A249" s="10" t="s">
        <v>158</v>
      </c>
      <c r="B249" s="4" t="s">
        <v>339</v>
      </c>
      <c r="C249" s="4"/>
      <c r="D249" s="4"/>
      <c r="E249" s="4"/>
      <c r="F249" s="44">
        <f>F250</f>
        <v>650000</v>
      </c>
    </row>
    <row r="250" spans="1:6" s="3" customFormat="1" ht="25.5">
      <c r="A250" s="10" t="s">
        <v>341</v>
      </c>
      <c r="B250" s="4" t="s">
        <v>340</v>
      </c>
      <c r="C250" s="4" t="s">
        <v>194</v>
      </c>
      <c r="D250" s="4" t="s">
        <v>180</v>
      </c>
      <c r="E250" s="4" t="s">
        <v>184</v>
      </c>
      <c r="F250" s="44">
        <v>650000</v>
      </c>
    </row>
    <row r="251" spans="1:6" s="3" customFormat="1" ht="25.5">
      <c r="A251" s="20" t="s">
        <v>3</v>
      </c>
      <c r="B251" s="15" t="s">
        <v>290</v>
      </c>
      <c r="C251" s="15"/>
      <c r="D251" s="15"/>
      <c r="E251" s="15"/>
      <c r="F251" s="43">
        <f>F252+F255+F258+F261+F264</f>
        <v>16947454</v>
      </c>
    </row>
    <row r="252" spans="1:6" s="3" customFormat="1" ht="13.5">
      <c r="A252" s="10" t="s">
        <v>288</v>
      </c>
      <c r="B252" s="4" t="s">
        <v>291</v>
      </c>
      <c r="C252" s="4"/>
      <c r="D252" s="4"/>
      <c r="E252" s="4"/>
      <c r="F252" s="44">
        <f>F253</f>
        <v>1104885</v>
      </c>
    </row>
    <row r="253" spans="1:6" s="3" customFormat="1" ht="13.5">
      <c r="A253" s="22" t="s">
        <v>289</v>
      </c>
      <c r="B253" s="4" t="s">
        <v>292</v>
      </c>
      <c r="C253" s="4"/>
      <c r="D253" s="4"/>
      <c r="E253" s="4"/>
      <c r="F253" s="44">
        <f>F254</f>
        <v>1104885</v>
      </c>
    </row>
    <row r="254" spans="1:6" s="3" customFormat="1" ht="25.5">
      <c r="A254" s="22" t="s">
        <v>335</v>
      </c>
      <c r="B254" s="4" t="s">
        <v>75</v>
      </c>
      <c r="C254" s="4" t="s">
        <v>194</v>
      </c>
      <c r="D254" s="4" t="s">
        <v>184</v>
      </c>
      <c r="E254" s="4" t="s">
        <v>177</v>
      </c>
      <c r="F254" s="44">
        <v>1104885</v>
      </c>
    </row>
    <row r="255" spans="1:6" s="3" customFormat="1" ht="13.5">
      <c r="A255" s="10" t="s">
        <v>293</v>
      </c>
      <c r="B255" s="4" t="s">
        <v>294</v>
      </c>
      <c r="C255" s="4"/>
      <c r="D255" s="4"/>
      <c r="E255" s="4"/>
      <c r="F255" s="44">
        <f>F256</f>
        <v>10652585</v>
      </c>
    </row>
    <row r="256" spans="1:6" s="3" customFormat="1" ht="13.5">
      <c r="A256" s="22" t="s">
        <v>289</v>
      </c>
      <c r="B256" s="4" t="s">
        <v>295</v>
      </c>
      <c r="C256" s="4"/>
      <c r="D256" s="4"/>
      <c r="E256" s="4"/>
      <c r="F256" s="44">
        <f>F257</f>
        <v>10652585</v>
      </c>
    </row>
    <row r="257" spans="1:6" s="3" customFormat="1" ht="25.5">
      <c r="A257" s="22" t="s">
        <v>335</v>
      </c>
      <c r="B257" s="4" t="s">
        <v>296</v>
      </c>
      <c r="C257" s="4" t="s">
        <v>194</v>
      </c>
      <c r="D257" s="4" t="s">
        <v>184</v>
      </c>
      <c r="E257" s="4" t="s">
        <v>177</v>
      </c>
      <c r="F257" s="44">
        <v>10652585</v>
      </c>
    </row>
    <row r="258" spans="1:6" s="3" customFormat="1" ht="13.5">
      <c r="A258" s="8" t="s">
        <v>297</v>
      </c>
      <c r="B258" s="4" t="s">
        <v>298</v>
      </c>
      <c r="C258" s="4"/>
      <c r="D258" s="4"/>
      <c r="E258" s="4"/>
      <c r="F258" s="44">
        <f>F259</f>
        <v>1068750</v>
      </c>
    </row>
    <row r="259" spans="1:6" s="3" customFormat="1" ht="13.5">
      <c r="A259" s="22" t="s">
        <v>289</v>
      </c>
      <c r="B259" s="4" t="s">
        <v>299</v>
      </c>
      <c r="C259" s="4"/>
      <c r="D259" s="4"/>
      <c r="E259" s="4"/>
      <c r="F259" s="44">
        <f>F260</f>
        <v>1068750</v>
      </c>
    </row>
    <row r="260" spans="1:6" s="5" customFormat="1" ht="25.5">
      <c r="A260" s="22" t="s">
        <v>335</v>
      </c>
      <c r="B260" s="4" t="s">
        <v>300</v>
      </c>
      <c r="C260" s="4" t="s">
        <v>194</v>
      </c>
      <c r="D260" s="4" t="s">
        <v>184</v>
      </c>
      <c r="E260" s="4" t="s">
        <v>177</v>
      </c>
      <c r="F260" s="44">
        <v>1068750</v>
      </c>
    </row>
    <row r="261" spans="1:6" s="3" customFormat="1" ht="13.5">
      <c r="A261" s="10" t="s">
        <v>301</v>
      </c>
      <c r="B261" s="4" t="s">
        <v>302</v>
      </c>
      <c r="C261" s="4"/>
      <c r="D261" s="4"/>
      <c r="E261" s="4"/>
      <c r="F261" s="44">
        <f>F262</f>
        <v>719890</v>
      </c>
    </row>
    <row r="262" spans="1:6" s="3" customFormat="1" ht="13.5">
      <c r="A262" s="22" t="s">
        <v>289</v>
      </c>
      <c r="B262" s="4" t="s">
        <v>303</v>
      </c>
      <c r="C262" s="4"/>
      <c r="D262" s="4"/>
      <c r="E262" s="4"/>
      <c r="F262" s="44">
        <f>F263</f>
        <v>719890</v>
      </c>
    </row>
    <row r="263" spans="1:6" s="3" customFormat="1" ht="25.5">
      <c r="A263" s="22" t="s">
        <v>335</v>
      </c>
      <c r="B263" s="4" t="s">
        <v>304</v>
      </c>
      <c r="C263" s="4" t="s">
        <v>194</v>
      </c>
      <c r="D263" s="4" t="s">
        <v>184</v>
      </c>
      <c r="E263" s="4" t="s">
        <v>177</v>
      </c>
      <c r="F263" s="44">
        <v>719890</v>
      </c>
    </row>
    <row r="264" spans="1:6" s="5" customFormat="1" ht="13.5">
      <c r="A264" s="8" t="s">
        <v>305</v>
      </c>
      <c r="B264" s="4" t="s">
        <v>306</v>
      </c>
      <c r="C264" s="4"/>
      <c r="D264" s="4"/>
      <c r="E264" s="4"/>
      <c r="F264" s="44">
        <f>F265</f>
        <v>3401344</v>
      </c>
    </row>
    <row r="265" spans="1:6" s="3" customFormat="1" ht="13.5">
      <c r="A265" s="22" t="s">
        <v>289</v>
      </c>
      <c r="B265" s="4" t="s">
        <v>307</v>
      </c>
      <c r="C265" s="4"/>
      <c r="D265" s="4"/>
      <c r="E265" s="4"/>
      <c r="F265" s="44">
        <f>F266</f>
        <v>3401344</v>
      </c>
    </row>
    <row r="266" spans="1:6" s="3" customFormat="1" ht="32.25" customHeight="1">
      <c r="A266" s="22" t="s">
        <v>335</v>
      </c>
      <c r="B266" s="4" t="s">
        <v>308</v>
      </c>
      <c r="C266" s="4" t="s">
        <v>194</v>
      </c>
      <c r="D266" s="4" t="s">
        <v>184</v>
      </c>
      <c r="E266" s="4" t="s">
        <v>177</v>
      </c>
      <c r="F266" s="44">
        <v>3401344</v>
      </c>
    </row>
    <row r="267" spans="1:6" s="3" customFormat="1" ht="25.5">
      <c r="A267" s="16" t="s">
        <v>4</v>
      </c>
      <c r="B267" s="15" t="s">
        <v>276</v>
      </c>
      <c r="C267" s="15"/>
      <c r="D267" s="15"/>
      <c r="E267" s="15"/>
      <c r="F267" s="43">
        <f>F268</f>
        <v>142632.72</v>
      </c>
    </row>
    <row r="268" spans="1:6" s="3" customFormat="1" ht="13.5">
      <c r="A268" s="8" t="s">
        <v>275</v>
      </c>
      <c r="B268" s="4" t="s">
        <v>277</v>
      </c>
      <c r="C268" s="4"/>
      <c r="D268" s="4"/>
      <c r="E268" s="4"/>
      <c r="F268" s="44">
        <f>F269</f>
        <v>142632.72</v>
      </c>
    </row>
    <row r="269" spans="1:6" s="3" customFormat="1" ht="13.5">
      <c r="A269" s="8" t="s">
        <v>190</v>
      </c>
      <c r="B269" s="4" t="s">
        <v>278</v>
      </c>
      <c r="C269" s="4"/>
      <c r="D269" s="4"/>
      <c r="E269" s="4"/>
      <c r="F269" s="44">
        <f>F270</f>
        <v>142632.72</v>
      </c>
    </row>
    <row r="270" spans="1:6" s="3" customFormat="1" ht="25.5">
      <c r="A270" s="8" t="s">
        <v>280</v>
      </c>
      <c r="B270" s="4" t="s">
        <v>279</v>
      </c>
      <c r="C270" s="4" t="s">
        <v>197</v>
      </c>
      <c r="D270" s="4" t="s">
        <v>188</v>
      </c>
      <c r="E270" s="4" t="s">
        <v>176</v>
      </c>
      <c r="F270" s="44">
        <v>142632.72</v>
      </c>
    </row>
    <row r="271" spans="1:6" s="3" customFormat="1" ht="29.25" customHeight="1">
      <c r="A271" s="20" t="s">
        <v>5</v>
      </c>
      <c r="B271" s="15" t="s">
        <v>406</v>
      </c>
      <c r="C271" s="15"/>
      <c r="D271" s="15"/>
      <c r="E271" s="15"/>
      <c r="F271" s="43">
        <f>SUM(F272+F277+F282+F287+F292+F299+F306)</f>
        <v>34818088</v>
      </c>
    </row>
    <row r="272" spans="1:6" s="3" customFormat="1" ht="25.5">
      <c r="A272" s="10" t="s">
        <v>405</v>
      </c>
      <c r="B272" s="4" t="s">
        <v>407</v>
      </c>
      <c r="C272" s="4"/>
      <c r="D272" s="4"/>
      <c r="E272" s="4"/>
      <c r="F272" s="44">
        <f>F273+F275</f>
        <v>17210417.02</v>
      </c>
    </row>
    <row r="273" spans="1:6" s="3" customFormat="1" ht="13.5" customHeight="1">
      <c r="A273" s="17" t="s">
        <v>192</v>
      </c>
      <c r="B273" s="4" t="s">
        <v>408</v>
      </c>
      <c r="C273" s="4"/>
      <c r="D273" s="4"/>
      <c r="E273" s="4"/>
      <c r="F273" s="44">
        <f>F274</f>
        <v>16697969</v>
      </c>
    </row>
    <row r="274" spans="1:6" s="3" customFormat="1" ht="29.25" customHeight="1">
      <c r="A274" s="26" t="s">
        <v>20</v>
      </c>
      <c r="B274" s="4" t="s">
        <v>409</v>
      </c>
      <c r="C274" s="4" t="s">
        <v>200</v>
      </c>
      <c r="D274" s="4" t="s">
        <v>185</v>
      </c>
      <c r="E274" s="4" t="s">
        <v>178</v>
      </c>
      <c r="F274" s="44">
        <f>14615994+174243+1907732</f>
        <v>16697969</v>
      </c>
    </row>
    <row r="275" spans="1:6" s="3" customFormat="1" ht="13.5">
      <c r="A275" s="17" t="s">
        <v>349</v>
      </c>
      <c r="B275" s="4" t="s">
        <v>462</v>
      </c>
      <c r="C275" s="4"/>
      <c r="D275" s="4"/>
      <c r="E275" s="4"/>
      <c r="F275" s="44">
        <f>F276</f>
        <v>512448.02</v>
      </c>
    </row>
    <row r="276" spans="1:6" s="3" customFormat="1" ht="25.5">
      <c r="A276" s="26" t="s">
        <v>20</v>
      </c>
      <c r="B276" s="4" t="s">
        <v>463</v>
      </c>
      <c r="C276" s="4" t="s">
        <v>200</v>
      </c>
      <c r="D276" s="4" t="s">
        <v>185</v>
      </c>
      <c r="E276" s="4" t="s">
        <v>178</v>
      </c>
      <c r="F276" s="44">
        <v>512448.02</v>
      </c>
    </row>
    <row r="277" spans="1:6" s="3" customFormat="1" ht="18.75" customHeight="1">
      <c r="A277" s="7" t="s">
        <v>417</v>
      </c>
      <c r="B277" s="4" t="s">
        <v>418</v>
      </c>
      <c r="C277" s="4"/>
      <c r="D277" s="4"/>
      <c r="E277" s="4"/>
      <c r="F277" s="44">
        <f>F278+F280</f>
        <v>1696631.7</v>
      </c>
    </row>
    <row r="278" spans="1:6" s="3" customFormat="1" ht="16.5" customHeight="1">
      <c r="A278" s="17" t="s">
        <v>192</v>
      </c>
      <c r="B278" s="4" t="s">
        <v>419</v>
      </c>
      <c r="C278" s="4"/>
      <c r="D278" s="4"/>
      <c r="E278" s="4"/>
      <c r="F278" s="44">
        <f>F279</f>
        <v>1415560.2</v>
      </c>
    </row>
    <row r="279" spans="1:6" s="3" customFormat="1" ht="25.5">
      <c r="A279" s="9" t="s">
        <v>28</v>
      </c>
      <c r="B279" s="4" t="s">
        <v>420</v>
      </c>
      <c r="C279" s="4" t="s">
        <v>200</v>
      </c>
      <c r="D279" s="4" t="s">
        <v>182</v>
      </c>
      <c r="E279" s="4" t="s">
        <v>176</v>
      </c>
      <c r="F279" s="44">
        <f>1385260.2+30300</f>
        <v>1415560.2</v>
      </c>
    </row>
    <row r="280" spans="1:6" s="3" customFormat="1" ht="13.5">
      <c r="A280" s="17" t="s">
        <v>349</v>
      </c>
      <c r="B280" s="4" t="s">
        <v>491</v>
      </c>
      <c r="C280" s="4"/>
      <c r="D280" s="4"/>
      <c r="E280" s="4"/>
      <c r="F280" s="44">
        <f>F281</f>
        <v>281071.5</v>
      </c>
    </row>
    <row r="281" spans="1:6" s="3" customFormat="1" ht="25.5">
      <c r="A281" s="9" t="s">
        <v>28</v>
      </c>
      <c r="B281" s="4" t="s">
        <v>492</v>
      </c>
      <c r="C281" s="4" t="s">
        <v>200</v>
      </c>
      <c r="D281" s="4" t="s">
        <v>182</v>
      </c>
      <c r="E281" s="4" t="s">
        <v>176</v>
      </c>
      <c r="F281" s="44">
        <v>281071.5</v>
      </c>
    </row>
    <row r="282" spans="1:6" s="3" customFormat="1" ht="25.5">
      <c r="A282" s="25" t="s">
        <v>421</v>
      </c>
      <c r="B282" s="4" t="s">
        <v>422</v>
      </c>
      <c r="C282" s="4"/>
      <c r="D282" s="4"/>
      <c r="E282" s="4"/>
      <c r="F282" s="44">
        <f>F283+F285</f>
        <v>7100117</v>
      </c>
    </row>
    <row r="283" spans="1:6" s="3" customFormat="1" ht="16.5" customHeight="1">
      <c r="A283" s="17" t="s">
        <v>192</v>
      </c>
      <c r="B283" s="4" t="s">
        <v>423</v>
      </c>
      <c r="C283" s="4"/>
      <c r="D283" s="4"/>
      <c r="E283" s="4"/>
      <c r="F283" s="44">
        <f>F284</f>
        <v>6821219</v>
      </c>
    </row>
    <row r="284" spans="1:6" s="3" customFormat="1" ht="25.5">
      <c r="A284" s="9" t="s">
        <v>28</v>
      </c>
      <c r="B284" s="4" t="s">
        <v>424</v>
      </c>
      <c r="C284" s="4" t="s">
        <v>200</v>
      </c>
      <c r="D284" s="4" t="s">
        <v>182</v>
      </c>
      <c r="E284" s="4" t="s">
        <v>176</v>
      </c>
      <c r="F284" s="44">
        <f>6733619+87600</f>
        <v>6821219</v>
      </c>
    </row>
    <row r="285" spans="1:6" s="3" customFormat="1" ht="13.5">
      <c r="A285" s="17" t="s">
        <v>349</v>
      </c>
      <c r="B285" s="4" t="s">
        <v>493</v>
      </c>
      <c r="C285" s="4"/>
      <c r="D285" s="4"/>
      <c r="E285" s="4"/>
      <c r="F285" s="44">
        <f>F286</f>
        <v>278898</v>
      </c>
    </row>
    <row r="286" spans="1:6" s="3" customFormat="1" ht="25.5">
      <c r="A286" s="9" t="s">
        <v>28</v>
      </c>
      <c r="B286" s="4" t="s">
        <v>494</v>
      </c>
      <c r="C286" s="4" t="s">
        <v>200</v>
      </c>
      <c r="D286" s="4" t="s">
        <v>182</v>
      </c>
      <c r="E286" s="4" t="s">
        <v>176</v>
      </c>
      <c r="F286" s="44">
        <f>218898+60000</f>
        <v>278898</v>
      </c>
    </row>
    <row r="287" spans="1:6" s="3" customFormat="1" ht="13.5">
      <c r="A287" s="7" t="s">
        <v>425</v>
      </c>
      <c r="B287" s="4" t="s">
        <v>426</v>
      </c>
      <c r="C287" s="4"/>
      <c r="D287" s="4"/>
      <c r="E287" s="4"/>
      <c r="F287" s="44">
        <f>F288+F290</f>
        <v>1608122.7</v>
      </c>
    </row>
    <row r="288" spans="1:6" s="3" customFormat="1" ht="14.25" customHeight="1">
      <c r="A288" s="17" t="s">
        <v>192</v>
      </c>
      <c r="B288" s="4" t="s">
        <v>427</v>
      </c>
      <c r="C288" s="4"/>
      <c r="D288" s="4"/>
      <c r="E288" s="4"/>
      <c r="F288" s="44">
        <f>F289</f>
        <v>1496675.7</v>
      </c>
    </row>
    <row r="289" spans="1:6" s="3" customFormat="1" ht="25.5">
      <c r="A289" s="9" t="s">
        <v>28</v>
      </c>
      <c r="B289" s="4" t="s">
        <v>428</v>
      </c>
      <c r="C289" s="4" t="s">
        <v>200</v>
      </c>
      <c r="D289" s="4" t="s">
        <v>182</v>
      </c>
      <c r="E289" s="4" t="s">
        <v>176</v>
      </c>
      <c r="F289" s="44">
        <v>1496675.7</v>
      </c>
    </row>
    <row r="290" spans="1:6" s="3" customFormat="1" ht="13.5">
      <c r="A290" s="17" t="s">
        <v>349</v>
      </c>
      <c r="B290" s="4" t="s">
        <v>495</v>
      </c>
      <c r="C290" s="4"/>
      <c r="D290" s="4"/>
      <c r="E290" s="4"/>
      <c r="F290" s="44">
        <f>F291</f>
        <v>111447</v>
      </c>
    </row>
    <row r="291" spans="1:6" s="3" customFormat="1" ht="25.5">
      <c r="A291" s="9" t="s">
        <v>28</v>
      </c>
      <c r="B291" s="4" t="s">
        <v>496</v>
      </c>
      <c r="C291" s="4" t="s">
        <v>497</v>
      </c>
      <c r="D291" s="4" t="s">
        <v>182</v>
      </c>
      <c r="E291" s="4" t="s">
        <v>176</v>
      </c>
      <c r="F291" s="44">
        <v>111447</v>
      </c>
    </row>
    <row r="292" spans="1:6" s="3" customFormat="1" ht="18.75" customHeight="1">
      <c r="A292" s="25" t="s">
        <v>429</v>
      </c>
      <c r="B292" s="4" t="s">
        <v>430</v>
      </c>
      <c r="C292" s="4"/>
      <c r="D292" s="4"/>
      <c r="E292" s="4"/>
      <c r="F292" s="44">
        <f>F293+F295</f>
        <v>1573736.08</v>
      </c>
    </row>
    <row r="293" spans="1:6" s="3" customFormat="1" ht="13.5">
      <c r="A293" s="8" t="s">
        <v>195</v>
      </c>
      <c r="B293" s="4" t="s">
        <v>431</v>
      </c>
      <c r="C293" s="4"/>
      <c r="D293" s="4"/>
      <c r="E293" s="4"/>
      <c r="F293" s="44">
        <f>F294</f>
        <v>11303.46</v>
      </c>
    </row>
    <row r="294" spans="1:6" s="3" customFormat="1" ht="13.5">
      <c r="A294" s="9" t="s">
        <v>145</v>
      </c>
      <c r="B294" s="4" t="s">
        <v>432</v>
      </c>
      <c r="C294" s="4" t="s">
        <v>196</v>
      </c>
      <c r="D294" s="4" t="s">
        <v>182</v>
      </c>
      <c r="E294" s="4" t="s">
        <v>176</v>
      </c>
      <c r="F294" s="44">
        <v>11303.46</v>
      </c>
    </row>
    <row r="295" spans="1:6" s="3" customFormat="1" ht="13.5">
      <c r="A295" s="7" t="s">
        <v>191</v>
      </c>
      <c r="B295" s="4" t="s">
        <v>433</v>
      </c>
      <c r="C295" s="4"/>
      <c r="D295" s="4"/>
      <c r="E295" s="4"/>
      <c r="F295" s="44">
        <f>SUM(F296:F298)</f>
        <v>1562432.62</v>
      </c>
    </row>
    <row r="296" spans="1:6" s="3" customFormat="1" ht="38.25">
      <c r="A296" s="9" t="s">
        <v>573</v>
      </c>
      <c r="B296" s="4" t="s">
        <v>434</v>
      </c>
      <c r="C296" s="4" t="s">
        <v>193</v>
      </c>
      <c r="D296" s="4" t="s">
        <v>182</v>
      </c>
      <c r="E296" s="4" t="s">
        <v>176</v>
      </c>
      <c r="F296" s="44">
        <f>891510.6+1426+268848.5</f>
        <v>1161785.1</v>
      </c>
    </row>
    <row r="297" spans="1:6" s="3" customFormat="1" ht="25.5">
      <c r="A297" s="9" t="s">
        <v>47</v>
      </c>
      <c r="B297" s="4" t="s">
        <v>434</v>
      </c>
      <c r="C297" s="4" t="s">
        <v>194</v>
      </c>
      <c r="D297" s="4" t="s">
        <v>182</v>
      </c>
      <c r="E297" s="4" t="s">
        <v>176</v>
      </c>
      <c r="F297" s="44">
        <f>22830+377672.85</f>
        <v>400502.85</v>
      </c>
    </row>
    <row r="298" spans="1:6" s="3" customFormat="1" ht="13.5">
      <c r="A298" s="9" t="s">
        <v>145</v>
      </c>
      <c r="B298" s="4" t="s">
        <v>434</v>
      </c>
      <c r="C298" s="4" t="s">
        <v>196</v>
      </c>
      <c r="D298" s="4" t="s">
        <v>182</v>
      </c>
      <c r="E298" s="4" t="s">
        <v>176</v>
      </c>
      <c r="F298" s="44">
        <f>140.37+4.3</f>
        <v>144.67000000000002</v>
      </c>
    </row>
    <row r="299" spans="1:6" s="3" customFormat="1" ht="27.75" customHeight="1">
      <c r="A299" s="8" t="s">
        <v>435</v>
      </c>
      <c r="B299" s="4" t="s">
        <v>436</v>
      </c>
      <c r="C299" s="4"/>
      <c r="D299" s="4"/>
      <c r="E299" s="4"/>
      <c r="F299" s="44">
        <f>F300+F302</f>
        <v>3561872</v>
      </c>
    </row>
    <row r="300" spans="1:6" s="3" customFormat="1" ht="13.5">
      <c r="A300" s="8" t="s">
        <v>195</v>
      </c>
      <c r="B300" s="4" t="s">
        <v>437</v>
      </c>
      <c r="C300" s="4"/>
      <c r="D300" s="4"/>
      <c r="E300" s="4"/>
      <c r="F300" s="44">
        <f>F301</f>
        <v>11606</v>
      </c>
    </row>
    <row r="301" spans="1:6" s="3" customFormat="1" ht="15.75" customHeight="1">
      <c r="A301" s="7" t="s">
        <v>146</v>
      </c>
      <c r="B301" s="4" t="s">
        <v>438</v>
      </c>
      <c r="C301" s="4" t="s">
        <v>196</v>
      </c>
      <c r="D301" s="4" t="s">
        <v>182</v>
      </c>
      <c r="E301" s="4" t="s">
        <v>176</v>
      </c>
      <c r="F301" s="44">
        <v>11606</v>
      </c>
    </row>
    <row r="302" spans="1:6" s="3" customFormat="1" ht="13.5">
      <c r="A302" s="7" t="s">
        <v>191</v>
      </c>
      <c r="B302" s="4" t="s">
        <v>439</v>
      </c>
      <c r="C302" s="4"/>
      <c r="D302" s="4"/>
      <c r="E302" s="4"/>
      <c r="F302" s="44">
        <f>F303+F304+F305</f>
        <v>3550266</v>
      </c>
    </row>
    <row r="303" spans="1:6" s="3" customFormat="1" ht="38.25">
      <c r="A303" s="25" t="s">
        <v>572</v>
      </c>
      <c r="B303" s="4" t="s">
        <v>440</v>
      </c>
      <c r="C303" s="4" t="s">
        <v>193</v>
      </c>
      <c r="D303" s="4" t="s">
        <v>182</v>
      </c>
      <c r="E303" s="4" t="s">
        <v>176</v>
      </c>
      <c r="F303" s="44">
        <f>2353503.26+1006+709744.35</f>
        <v>3064253.61</v>
      </c>
    </row>
    <row r="304" spans="1:6" s="3" customFormat="1" ht="13.5">
      <c r="A304" s="7" t="s">
        <v>48</v>
      </c>
      <c r="B304" s="4" t="s">
        <v>440</v>
      </c>
      <c r="C304" s="4" t="s">
        <v>194</v>
      </c>
      <c r="D304" s="4" t="s">
        <v>182</v>
      </c>
      <c r="E304" s="4" t="s">
        <v>176</v>
      </c>
      <c r="F304" s="44">
        <f>37801.59+448032.8</f>
        <v>485834.39</v>
      </c>
    </row>
    <row r="305" spans="1:6" s="3" customFormat="1" ht="13.5">
      <c r="A305" s="7" t="s">
        <v>146</v>
      </c>
      <c r="B305" s="4" t="s">
        <v>440</v>
      </c>
      <c r="C305" s="4" t="s">
        <v>196</v>
      </c>
      <c r="D305" s="4" t="s">
        <v>182</v>
      </c>
      <c r="E305" s="4" t="s">
        <v>176</v>
      </c>
      <c r="F305" s="44">
        <f>174.48+3.52</f>
        <v>178</v>
      </c>
    </row>
    <row r="306" spans="1:6" s="3" customFormat="1" ht="25.5">
      <c r="A306" s="25" t="s">
        <v>441</v>
      </c>
      <c r="B306" s="4" t="s">
        <v>442</v>
      </c>
      <c r="C306" s="4"/>
      <c r="D306" s="4"/>
      <c r="E306" s="4"/>
      <c r="F306" s="44">
        <f>F307</f>
        <v>2067191.5</v>
      </c>
    </row>
    <row r="307" spans="1:6" s="5" customFormat="1" ht="13.5">
      <c r="A307" s="7" t="s">
        <v>158</v>
      </c>
      <c r="B307" s="4" t="s">
        <v>443</v>
      </c>
      <c r="C307" s="4"/>
      <c r="D307" s="4"/>
      <c r="E307" s="4"/>
      <c r="F307" s="44">
        <f>F308</f>
        <v>2067191.5</v>
      </c>
    </row>
    <row r="308" spans="1:6" s="5" customFormat="1" ht="25.5">
      <c r="A308" s="9" t="s">
        <v>49</v>
      </c>
      <c r="B308" s="4" t="s">
        <v>444</v>
      </c>
      <c r="C308" s="4" t="s">
        <v>194</v>
      </c>
      <c r="D308" s="4" t="s">
        <v>182</v>
      </c>
      <c r="E308" s="4" t="s">
        <v>176</v>
      </c>
      <c r="F308" s="44">
        <v>2067191.5</v>
      </c>
    </row>
    <row r="309" spans="1:6" s="5" customFormat="1" ht="30" customHeight="1">
      <c r="A309" s="19" t="s">
        <v>60</v>
      </c>
      <c r="B309" s="15" t="s">
        <v>61</v>
      </c>
      <c r="C309" s="15"/>
      <c r="D309" s="15"/>
      <c r="E309" s="15"/>
      <c r="F309" s="43">
        <f>SUM(F312+F310)</f>
        <v>697700</v>
      </c>
    </row>
    <row r="310" spans="1:6" s="5" customFormat="1" ht="19.5" customHeight="1">
      <c r="A310" s="22" t="s">
        <v>158</v>
      </c>
      <c r="B310" s="4" t="s">
        <v>125</v>
      </c>
      <c r="C310" s="15"/>
      <c r="D310" s="15"/>
      <c r="E310" s="15"/>
      <c r="F310" s="44">
        <f>SUM(F311)</f>
        <v>90000</v>
      </c>
    </row>
    <row r="311" spans="1:6" s="5" customFormat="1" ht="29.25" customHeight="1">
      <c r="A311" s="10" t="s">
        <v>26</v>
      </c>
      <c r="B311" s="4" t="s">
        <v>126</v>
      </c>
      <c r="C311" s="4" t="s">
        <v>200</v>
      </c>
      <c r="D311" s="4" t="s">
        <v>185</v>
      </c>
      <c r="E311" s="4" t="s">
        <v>185</v>
      </c>
      <c r="F311" s="44">
        <v>90000</v>
      </c>
    </row>
    <row r="312" spans="1:6" s="21" customFormat="1" ht="18" customHeight="1">
      <c r="A312" s="8" t="s">
        <v>549</v>
      </c>
      <c r="B312" s="4" t="s">
        <v>121</v>
      </c>
      <c r="C312" s="15"/>
      <c r="D312" s="15"/>
      <c r="E312" s="15"/>
      <c r="F312" s="44">
        <f>SUM(F313:F315)</f>
        <v>607700</v>
      </c>
    </row>
    <row r="313" spans="1:6" s="5" customFormat="1" ht="27.75" customHeight="1">
      <c r="A313" s="17" t="s">
        <v>580</v>
      </c>
      <c r="B313" s="4" t="s">
        <v>122</v>
      </c>
      <c r="C313" s="4" t="s">
        <v>200</v>
      </c>
      <c r="D313" s="4" t="s">
        <v>183</v>
      </c>
      <c r="E313" s="4" t="s">
        <v>180</v>
      </c>
      <c r="F313" s="44">
        <v>317700</v>
      </c>
    </row>
    <row r="314" spans="1:7" s="5" customFormat="1" ht="51.75" customHeight="1">
      <c r="A314" s="17" t="s">
        <v>498</v>
      </c>
      <c r="B314" s="4" t="s">
        <v>62</v>
      </c>
      <c r="C314" s="4" t="s">
        <v>200</v>
      </c>
      <c r="D314" s="4" t="s">
        <v>186</v>
      </c>
      <c r="E314" s="4" t="s">
        <v>178</v>
      </c>
      <c r="F314" s="44">
        <v>200000</v>
      </c>
      <c r="G314" s="12"/>
    </row>
    <row r="315" spans="1:6" s="5" customFormat="1" ht="38.25">
      <c r="A315" s="8" t="s">
        <v>499</v>
      </c>
      <c r="B315" s="4" t="s">
        <v>123</v>
      </c>
      <c r="C315" s="4" t="s">
        <v>200</v>
      </c>
      <c r="D315" s="4" t="s">
        <v>183</v>
      </c>
      <c r="E315" s="4" t="s">
        <v>180</v>
      </c>
      <c r="F315" s="44">
        <v>90000</v>
      </c>
    </row>
    <row r="316" spans="1:6" s="5" customFormat="1" ht="25.5">
      <c r="A316" s="27" t="s">
        <v>63</v>
      </c>
      <c r="B316" s="15" t="s">
        <v>64</v>
      </c>
      <c r="C316" s="15"/>
      <c r="D316" s="15"/>
      <c r="E316" s="15"/>
      <c r="F316" s="43">
        <f>SUM(F317)</f>
        <v>9146905.79</v>
      </c>
    </row>
    <row r="317" spans="1:6" s="5" customFormat="1" ht="25.5">
      <c r="A317" s="8" t="s">
        <v>249</v>
      </c>
      <c r="B317" s="4" t="s">
        <v>65</v>
      </c>
      <c r="C317" s="4"/>
      <c r="D317" s="4"/>
      <c r="E317" s="4"/>
      <c r="F317" s="44">
        <f>SUM(F318:F319)</f>
        <v>9146905.79</v>
      </c>
    </row>
    <row r="318" spans="1:7" s="5" customFormat="1" ht="63.75">
      <c r="A318" s="14" t="s">
        <v>66</v>
      </c>
      <c r="B318" s="4" t="s">
        <v>68</v>
      </c>
      <c r="C318" s="4" t="s">
        <v>286</v>
      </c>
      <c r="D318" s="4" t="s">
        <v>184</v>
      </c>
      <c r="E318" s="4" t="s">
        <v>176</v>
      </c>
      <c r="F318" s="44">
        <v>5381643.5</v>
      </c>
      <c r="G318" s="12"/>
    </row>
    <row r="319" spans="1:6" s="5" customFormat="1" ht="51">
      <c r="A319" s="14" t="s">
        <v>67</v>
      </c>
      <c r="B319" s="4" t="s">
        <v>69</v>
      </c>
      <c r="C319" s="4" t="s">
        <v>286</v>
      </c>
      <c r="D319" s="4" t="s">
        <v>184</v>
      </c>
      <c r="E319" s="4" t="s">
        <v>176</v>
      </c>
      <c r="F319" s="44">
        <v>3765262.29</v>
      </c>
    </row>
    <row r="320" spans="1:6" s="5" customFormat="1" ht="13.5">
      <c r="A320" s="16" t="s">
        <v>222</v>
      </c>
      <c r="B320" s="15" t="s">
        <v>221</v>
      </c>
      <c r="C320" s="15"/>
      <c r="D320" s="15"/>
      <c r="E320" s="15"/>
      <c r="F320" s="43">
        <f>F321+F325+F336+F369+F371+F373+F383</f>
        <v>109851021.48999998</v>
      </c>
    </row>
    <row r="321" spans="1:6" s="5" customFormat="1" ht="25.5">
      <c r="A321" s="8" t="s">
        <v>249</v>
      </c>
      <c r="B321" s="4" t="s">
        <v>554</v>
      </c>
      <c r="C321" s="15"/>
      <c r="D321" s="15"/>
      <c r="E321" s="15"/>
      <c r="F321" s="44">
        <f>SUM(F322:F324)</f>
        <v>9122400</v>
      </c>
    </row>
    <row r="322" spans="1:6" s="3" customFormat="1" ht="51">
      <c r="A322" s="14" t="s">
        <v>587</v>
      </c>
      <c r="B322" s="4" t="s">
        <v>553</v>
      </c>
      <c r="C322" s="4" t="s">
        <v>193</v>
      </c>
      <c r="D322" s="4" t="s">
        <v>183</v>
      </c>
      <c r="E322" s="4" t="s">
        <v>180</v>
      </c>
      <c r="F322" s="44">
        <f>6085064.3+1824787.16</f>
        <v>7909851.46</v>
      </c>
    </row>
    <row r="323" spans="1:6" s="3" customFormat="1" ht="25.5">
      <c r="A323" s="8" t="s">
        <v>50</v>
      </c>
      <c r="B323" s="4" t="s">
        <v>553</v>
      </c>
      <c r="C323" s="4" t="s">
        <v>194</v>
      </c>
      <c r="D323" s="4" t="s">
        <v>183</v>
      </c>
      <c r="E323" s="4" t="s">
        <v>180</v>
      </c>
      <c r="F323" s="44">
        <f>562412.7+643235.84</f>
        <v>1205648.54</v>
      </c>
    </row>
    <row r="324" spans="1:7" s="3" customFormat="1" ht="25.5">
      <c r="A324" s="8" t="s">
        <v>147</v>
      </c>
      <c r="B324" s="4" t="s">
        <v>553</v>
      </c>
      <c r="C324" s="4" t="s">
        <v>196</v>
      </c>
      <c r="D324" s="4" t="s">
        <v>183</v>
      </c>
      <c r="E324" s="4" t="s">
        <v>180</v>
      </c>
      <c r="F324" s="44">
        <v>6900</v>
      </c>
      <c r="G324" s="11"/>
    </row>
    <row r="325" spans="1:6" s="3" customFormat="1" ht="51">
      <c r="A325" s="14" t="s">
        <v>204</v>
      </c>
      <c r="B325" s="4" t="s">
        <v>238</v>
      </c>
      <c r="C325" s="4"/>
      <c r="D325" s="4"/>
      <c r="E325" s="4"/>
      <c r="F325" s="44">
        <f>SUM(F326:F335)</f>
        <v>2744812</v>
      </c>
    </row>
    <row r="326" spans="1:6" s="3" customFormat="1" ht="51">
      <c r="A326" s="14" t="s">
        <v>244</v>
      </c>
      <c r="B326" s="4" t="s">
        <v>239</v>
      </c>
      <c r="C326" s="4" t="s">
        <v>193</v>
      </c>
      <c r="D326" s="4" t="s">
        <v>176</v>
      </c>
      <c r="E326" s="4" t="s">
        <v>179</v>
      </c>
      <c r="F326" s="44">
        <f>67865.48+19214.52</f>
        <v>87080</v>
      </c>
    </row>
    <row r="327" spans="1:6" s="3" customFormat="1" ht="38.25">
      <c r="A327" s="14" t="s">
        <v>500</v>
      </c>
      <c r="B327" s="4" t="s">
        <v>239</v>
      </c>
      <c r="C327" s="4" t="s">
        <v>194</v>
      </c>
      <c r="D327" s="4" t="s">
        <v>176</v>
      </c>
      <c r="E327" s="4" t="s">
        <v>179</v>
      </c>
      <c r="F327" s="44">
        <v>6720</v>
      </c>
    </row>
    <row r="328" spans="1:6" s="3" customFormat="1" ht="41.25" customHeight="1">
      <c r="A328" s="14" t="s">
        <v>588</v>
      </c>
      <c r="B328" s="4" t="s">
        <v>245</v>
      </c>
      <c r="C328" s="4" t="s">
        <v>193</v>
      </c>
      <c r="D328" s="4" t="s">
        <v>176</v>
      </c>
      <c r="E328" s="4" t="s">
        <v>179</v>
      </c>
      <c r="F328" s="44">
        <f>211492+63908</f>
        <v>275400</v>
      </c>
    </row>
    <row r="329" spans="1:6" s="3" customFormat="1" ht="25.5">
      <c r="A329" s="8" t="s">
        <v>163</v>
      </c>
      <c r="B329" s="4" t="s">
        <v>245</v>
      </c>
      <c r="C329" s="4" t="s">
        <v>194</v>
      </c>
      <c r="D329" s="4" t="s">
        <v>176</v>
      </c>
      <c r="E329" s="4" t="s">
        <v>179</v>
      </c>
      <c r="F329" s="44">
        <f>33632.56+29767.44</f>
        <v>63400</v>
      </c>
    </row>
    <row r="330" spans="1:6" s="3" customFormat="1" ht="38.25">
      <c r="A330" s="14" t="s">
        <v>164</v>
      </c>
      <c r="B330" s="4" t="s">
        <v>261</v>
      </c>
      <c r="C330" s="4" t="s">
        <v>194</v>
      </c>
      <c r="D330" s="4" t="s">
        <v>176</v>
      </c>
      <c r="E330" s="4" t="s">
        <v>184</v>
      </c>
      <c r="F330" s="44">
        <v>20510</v>
      </c>
    </row>
    <row r="331" spans="1:6" s="3" customFormat="1" ht="25.5">
      <c r="A331" s="13" t="s">
        <v>501</v>
      </c>
      <c r="B331" s="4" t="s">
        <v>59</v>
      </c>
      <c r="C331" s="4" t="s">
        <v>194</v>
      </c>
      <c r="D331" s="4" t="s">
        <v>176</v>
      </c>
      <c r="E331" s="4" t="s">
        <v>188</v>
      </c>
      <c r="F331" s="44">
        <v>84702</v>
      </c>
    </row>
    <row r="332" spans="1:6" s="3" customFormat="1" ht="76.5">
      <c r="A332" s="14" t="s">
        <v>589</v>
      </c>
      <c r="B332" s="4" t="s">
        <v>265</v>
      </c>
      <c r="C332" s="4" t="s">
        <v>193</v>
      </c>
      <c r="D332" s="4" t="s">
        <v>177</v>
      </c>
      <c r="E332" s="4" t="s">
        <v>179</v>
      </c>
      <c r="F332" s="44">
        <f>1175763+352707.03</f>
        <v>1528470.03</v>
      </c>
    </row>
    <row r="333" spans="1:6" s="3" customFormat="1" ht="63.75">
      <c r="A333" s="14" t="s">
        <v>53</v>
      </c>
      <c r="B333" s="4" t="s">
        <v>265</v>
      </c>
      <c r="C333" s="4" t="s">
        <v>194</v>
      </c>
      <c r="D333" s="4" t="s">
        <v>177</v>
      </c>
      <c r="E333" s="4" t="s">
        <v>179</v>
      </c>
      <c r="F333" s="44">
        <f>85737.78+490387.19</f>
        <v>576124.97</v>
      </c>
    </row>
    <row r="334" spans="1:6" s="5" customFormat="1" ht="51">
      <c r="A334" s="14" t="s">
        <v>148</v>
      </c>
      <c r="B334" s="4" t="s">
        <v>265</v>
      </c>
      <c r="C334" s="4" t="s">
        <v>196</v>
      </c>
      <c r="D334" s="4" t="s">
        <v>177</v>
      </c>
      <c r="E334" s="4" t="s">
        <v>179</v>
      </c>
      <c r="F334" s="44">
        <v>3205</v>
      </c>
    </row>
    <row r="335" spans="1:6" s="3" customFormat="1" ht="51">
      <c r="A335" s="14" t="s">
        <v>165</v>
      </c>
      <c r="B335" s="4" t="s">
        <v>157</v>
      </c>
      <c r="C335" s="4" t="s">
        <v>194</v>
      </c>
      <c r="D335" s="4" t="s">
        <v>179</v>
      </c>
      <c r="E335" s="4" t="s">
        <v>184</v>
      </c>
      <c r="F335" s="44">
        <v>99200</v>
      </c>
    </row>
    <row r="336" spans="1:6" s="3" customFormat="1" ht="13.5">
      <c r="A336" s="8" t="s">
        <v>223</v>
      </c>
      <c r="B336" s="4" t="s">
        <v>224</v>
      </c>
      <c r="C336" s="4"/>
      <c r="D336" s="4"/>
      <c r="E336" s="4"/>
      <c r="F336" s="44">
        <f>SUM(F337:F368)</f>
        <v>68433300.29999998</v>
      </c>
    </row>
    <row r="337" spans="1:6" s="3" customFormat="1" ht="13.5">
      <c r="A337" s="10" t="s">
        <v>149</v>
      </c>
      <c r="B337" s="4" t="s">
        <v>564</v>
      </c>
      <c r="C337" s="4" t="s">
        <v>196</v>
      </c>
      <c r="D337" s="4" t="s">
        <v>176</v>
      </c>
      <c r="E337" s="4" t="s">
        <v>187</v>
      </c>
      <c r="F337" s="44">
        <v>230788.26</v>
      </c>
    </row>
    <row r="338" spans="1:6" s="3" customFormat="1" ht="38.25">
      <c r="A338" s="8" t="s">
        <v>227</v>
      </c>
      <c r="B338" s="4" t="s">
        <v>226</v>
      </c>
      <c r="C338" s="4" t="s">
        <v>193</v>
      </c>
      <c r="D338" s="4" t="s">
        <v>176</v>
      </c>
      <c r="E338" s="4" t="s">
        <v>178</v>
      </c>
      <c r="F338" s="44">
        <f>1035860+312830</f>
        <v>1348690</v>
      </c>
    </row>
    <row r="339" spans="1:6" s="3" customFormat="1" ht="51">
      <c r="A339" s="14" t="s">
        <v>228</v>
      </c>
      <c r="B339" s="4" t="s">
        <v>225</v>
      </c>
      <c r="C339" s="4" t="s">
        <v>193</v>
      </c>
      <c r="D339" s="4" t="s">
        <v>176</v>
      </c>
      <c r="E339" s="4" t="s">
        <v>177</v>
      </c>
      <c r="F339" s="44">
        <f>1462205.99+1190+441853.11</f>
        <v>1905249.1</v>
      </c>
    </row>
    <row r="340" spans="1:6" s="3" customFormat="1" ht="51">
      <c r="A340" s="14" t="s">
        <v>228</v>
      </c>
      <c r="B340" s="4" t="s">
        <v>225</v>
      </c>
      <c r="C340" s="4" t="s">
        <v>193</v>
      </c>
      <c r="D340" s="4" t="s">
        <v>176</v>
      </c>
      <c r="E340" s="4" t="s">
        <v>179</v>
      </c>
      <c r="F340" s="44">
        <f>13062972.44+59439.58+5082293.18</f>
        <v>18204705.2</v>
      </c>
    </row>
    <row r="341" spans="1:6" s="3" customFormat="1" ht="51">
      <c r="A341" s="14" t="s">
        <v>228</v>
      </c>
      <c r="B341" s="4" t="s">
        <v>225</v>
      </c>
      <c r="C341" s="4" t="s">
        <v>193</v>
      </c>
      <c r="D341" s="4" t="s">
        <v>176</v>
      </c>
      <c r="E341" s="4" t="s">
        <v>180</v>
      </c>
      <c r="F341" s="44">
        <f>6319970+8181.5+1906449.44-12056.77</f>
        <v>8222544.17</v>
      </c>
    </row>
    <row r="342" spans="1:6" s="3" customFormat="1" ht="51">
      <c r="A342" s="14" t="s">
        <v>228</v>
      </c>
      <c r="B342" s="4" t="s">
        <v>225</v>
      </c>
      <c r="C342" s="4" t="s">
        <v>193</v>
      </c>
      <c r="D342" s="4" t="s">
        <v>176</v>
      </c>
      <c r="E342" s="4" t="s">
        <v>188</v>
      </c>
      <c r="F342" s="44">
        <f>5239275.4+6637.81+1658145.56</f>
        <v>6904058.77</v>
      </c>
    </row>
    <row r="343" spans="1:6" s="3" customFormat="1" ht="51">
      <c r="A343" s="14" t="s">
        <v>228</v>
      </c>
      <c r="B343" s="4" t="s">
        <v>225</v>
      </c>
      <c r="C343" s="4" t="s">
        <v>193</v>
      </c>
      <c r="D343" s="4" t="s">
        <v>184</v>
      </c>
      <c r="E343" s="4" t="s">
        <v>184</v>
      </c>
      <c r="F343" s="44">
        <f>5564796.07+1614.76+1874250.31</f>
        <v>7440661.140000001</v>
      </c>
    </row>
    <row r="344" spans="1:6" s="3" customFormat="1" ht="51">
      <c r="A344" s="14" t="s">
        <v>228</v>
      </c>
      <c r="B344" s="4" t="s">
        <v>225</v>
      </c>
      <c r="C344" s="4" t="s">
        <v>193</v>
      </c>
      <c r="D344" s="4" t="s">
        <v>185</v>
      </c>
      <c r="E344" s="4" t="s">
        <v>181</v>
      </c>
      <c r="F344" s="44">
        <f>1685382.29+539569.71</f>
        <v>2224952</v>
      </c>
    </row>
    <row r="345" spans="1:6" s="3" customFormat="1" ht="51">
      <c r="A345" s="14" t="s">
        <v>228</v>
      </c>
      <c r="B345" s="4" t="s">
        <v>225</v>
      </c>
      <c r="C345" s="4" t="s">
        <v>193</v>
      </c>
      <c r="D345" s="4" t="s">
        <v>182</v>
      </c>
      <c r="E345" s="4" t="s">
        <v>179</v>
      </c>
      <c r="F345" s="44">
        <f>744015.19+2159+362411.81</f>
        <v>1108586</v>
      </c>
    </row>
    <row r="346" spans="1:6" s="5" customFormat="1" ht="51">
      <c r="A346" s="14" t="s">
        <v>228</v>
      </c>
      <c r="B346" s="4" t="s">
        <v>225</v>
      </c>
      <c r="C346" s="4" t="s">
        <v>193</v>
      </c>
      <c r="D346" s="4" t="s">
        <v>183</v>
      </c>
      <c r="E346" s="4" t="s">
        <v>180</v>
      </c>
      <c r="F346" s="44">
        <v>800006.66</v>
      </c>
    </row>
    <row r="347" spans="1:7" s="5" customFormat="1" ht="57" customHeight="1">
      <c r="A347" s="14" t="s">
        <v>228</v>
      </c>
      <c r="B347" s="4" t="s">
        <v>225</v>
      </c>
      <c r="C347" s="4" t="s">
        <v>193</v>
      </c>
      <c r="D347" s="4" t="s">
        <v>187</v>
      </c>
      <c r="E347" s="4" t="s">
        <v>184</v>
      </c>
      <c r="F347" s="44">
        <f>738174.95+219141.28</f>
        <v>957316.23</v>
      </c>
      <c r="G347" s="12"/>
    </row>
    <row r="348" spans="1:7" s="5" customFormat="1" ht="47.25" customHeight="1">
      <c r="A348" s="14" t="s">
        <v>229</v>
      </c>
      <c r="B348" s="4" t="s">
        <v>225</v>
      </c>
      <c r="C348" s="4" t="s">
        <v>194</v>
      </c>
      <c r="D348" s="4" t="s">
        <v>176</v>
      </c>
      <c r="E348" s="4" t="s">
        <v>177</v>
      </c>
      <c r="F348" s="44">
        <f>78150+544580.98</f>
        <v>622730.98</v>
      </c>
      <c r="G348" s="12"/>
    </row>
    <row r="349" spans="1:7" s="5" customFormat="1" ht="41.25" customHeight="1">
      <c r="A349" s="14" t="s">
        <v>229</v>
      </c>
      <c r="B349" s="4" t="s">
        <v>225</v>
      </c>
      <c r="C349" s="4" t="s">
        <v>194</v>
      </c>
      <c r="D349" s="4" t="s">
        <v>176</v>
      </c>
      <c r="E349" s="4" t="s">
        <v>179</v>
      </c>
      <c r="F349" s="44">
        <f>1005463.43+5372631.06</f>
        <v>6378094.489999999</v>
      </c>
      <c r="G349" s="12"/>
    </row>
    <row r="350" spans="1:7" s="5" customFormat="1" ht="39" customHeight="1">
      <c r="A350" s="14" t="s">
        <v>229</v>
      </c>
      <c r="B350" s="4" t="s">
        <v>225</v>
      </c>
      <c r="C350" s="4" t="s">
        <v>194</v>
      </c>
      <c r="D350" s="4" t="s">
        <v>176</v>
      </c>
      <c r="E350" s="4" t="s">
        <v>180</v>
      </c>
      <c r="F350" s="44">
        <f>2736619+147782</f>
        <v>2884401</v>
      </c>
      <c r="G350" s="12"/>
    </row>
    <row r="351" spans="1:7" s="5" customFormat="1" ht="41.25" customHeight="1">
      <c r="A351" s="14" t="s">
        <v>229</v>
      </c>
      <c r="B351" s="4" t="s">
        <v>225</v>
      </c>
      <c r="C351" s="4" t="s">
        <v>194</v>
      </c>
      <c r="D351" s="4" t="s">
        <v>176</v>
      </c>
      <c r="E351" s="4" t="s">
        <v>188</v>
      </c>
      <c r="F351" s="44">
        <f>338670.19+327846.73</f>
        <v>666516.9199999999</v>
      </c>
      <c r="G351" s="12"/>
    </row>
    <row r="352" spans="1:7" s="5" customFormat="1" ht="33.75" customHeight="1">
      <c r="A352" s="14" t="s">
        <v>229</v>
      </c>
      <c r="B352" s="4" t="s">
        <v>225</v>
      </c>
      <c r="C352" s="4" t="s">
        <v>194</v>
      </c>
      <c r="D352" s="4" t="s">
        <v>184</v>
      </c>
      <c r="E352" s="4" t="s">
        <v>184</v>
      </c>
      <c r="F352" s="44">
        <f>197871+675693</f>
        <v>873564</v>
      </c>
      <c r="G352" s="12"/>
    </row>
    <row r="353" spans="1:7" s="5" customFormat="1" ht="25.5" customHeight="1">
      <c r="A353" s="14" t="s">
        <v>229</v>
      </c>
      <c r="B353" s="4" t="s">
        <v>225</v>
      </c>
      <c r="C353" s="4" t="s">
        <v>194</v>
      </c>
      <c r="D353" s="4" t="s">
        <v>185</v>
      </c>
      <c r="E353" s="4" t="s">
        <v>181</v>
      </c>
      <c r="F353" s="44">
        <f>115117.82+232649.18</f>
        <v>347767</v>
      </c>
      <c r="G353" s="12"/>
    </row>
    <row r="354" spans="1:7" s="5" customFormat="1" ht="44.25" customHeight="1">
      <c r="A354" s="14" t="s">
        <v>229</v>
      </c>
      <c r="B354" s="4" t="s">
        <v>225</v>
      </c>
      <c r="C354" s="4" t="s">
        <v>194</v>
      </c>
      <c r="D354" s="4" t="s">
        <v>182</v>
      </c>
      <c r="E354" s="4" t="s">
        <v>179</v>
      </c>
      <c r="F354" s="44">
        <f>12539.09+35130</f>
        <v>47669.09</v>
      </c>
      <c r="G354" s="12"/>
    </row>
    <row r="355" spans="1:7" s="5" customFormat="1" ht="42" customHeight="1">
      <c r="A355" s="14" t="s">
        <v>229</v>
      </c>
      <c r="B355" s="4" t="s">
        <v>225</v>
      </c>
      <c r="C355" s="4" t="s">
        <v>194</v>
      </c>
      <c r="D355" s="4" t="s">
        <v>187</v>
      </c>
      <c r="E355" s="4" t="s">
        <v>184</v>
      </c>
      <c r="F355" s="44">
        <f>10044.16+3200</f>
        <v>13244.16</v>
      </c>
      <c r="G355" s="12"/>
    </row>
    <row r="356" spans="1:7" s="5" customFormat="1" ht="33" customHeight="1">
      <c r="A356" s="14" t="s">
        <v>230</v>
      </c>
      <c r="B356" s="4" t="s">
        <v>225</v>
      </c>
      <c r="C356" s="4" t="s">
        <v>196</v>
      </c>
      <c r="D356" s="4" t="s">
        <v>176</v>
      </c>
      <c r="E356" s="4" t="s">
        <v>177</v>
      </c>
      <c r="F356" s="44">
        <v>6000</v>
      </c>
      <c r="G356" s="12"/>
    </row>
    <row r="357" spans="1:7" s="5" customFormat="1" ht="30.75" customHeight="1">
      <c r="A357" s="14" t="s">
        <v>230</v>
      </c>
      <c r="B357" s="4" t="s">
        <v>225</v>
      </c>
      <c r="C357" s="4" t="s">
        <v>196</v>
      </c>
      <c r="D357" s="4" t="s">
        <v>176</v>
      </c>
      <c r="E357" s="4" t="s">
        <v>179</v>
      </c>
      <c r="F357" s="44">
        <f>297+1073455.33</f>
        <v>1073752.33</v>
      </c>
      <c r="G357" s="12"/>
    </row>
    <row r="358" spans="1:7" s="5" customFormat="1" ht="27.75" customHeight="1">
      <c r="A358" s="14" t="s">
        <v>230</v>
      </c>
      <c r="B358" s="4" t="s">
        <v>225</v>
      </c>
      <c r="C358" s="4" t="s">
        <v>196</v>
      </c>
      <c r="D358" s="4" t="s">
        <v>176</v>
      </c>
      <c r="E358" s="4" t="s">
        <v>180</v>
      </c>
      <c r="F358" s="44">
        <f>800+5000</f>
        <v>5800</v>
      </c>
      <c r="G358" s="12"/>
    </row>
    <row r="359" spans="1:7" s="5" customFormat="1" ht="26.25" customHeight="1">
      <c r="A359" s="14" t="s">
        <v>230</v>
      </c>
      <c r="B359" s="4" t="s">
        <v>225</v>
      </c>
      <c r="C359" s="4" t="s">
        <v>196</v>
      </c>
      <c r="D359" s="4" t="s">
        <v>176</v>
      </c>
      <c r="E359" s="4" t="s">
        <v>188</v>
      </c>
      <c r="F359" s="44">
        <f>6913.7+30000.31</f>
        <v>36914.01</v>
      </c>
      <c r="G359" s="12"/>
    </row>
    <row r="360" spans="1:7" s="5" customFormat="1" ht="25.5" customHeight="1">
      <c r="A360" s="14" t="s">
        <v>230</v>
      </c>
      <c r="B360" s="4" t="s">
        <v>225</v>
      </c>
      <c r="C360" s="4" t="s">
        <v>196</v>
      </c>
      <c r="D360" s="4" t="s">
        <v>184</v>
      </c>
      <c r="E360" s="4" t="s">
        <v>184</v>
      </c>
      <c r="F360" s="44">
        <f>2355.97+381333.11</f>
        <v>383689.07999999996</v>
      </c>
      <c r="G360" s="12"/>
    </row>
    <row r="361" spans="1:7" s="5" customFormat="1" ht="25.5" customHeight="1">
      <c r="A361" s="14" t="s">
        <v>230</v>
      </c>
      <c r="B361" s="4" t="s">
        <v>225</v>
      </c>
      <c r="C361" s="4" t="s">
        <v>196</v>
      </c>
      <c r="D361" s="4" t="s">
        <v>185</v>
      </c>
      <c r="E361" s="4" t="s">
        <v>181</v>
      </c>
      <c r="F361" s="44">
        <v>800</v>
      </c>
      <c r="G361" s="12"/>
    </row>
    <row r="362" spans="1:7" s="5" customFormat="1" ht="27" customHeight="1">
      <c r="A362" s="14" t="s">
        <v>230</v>
      </c>
      <c r="B362" s="4" t="s">
        <v>225</v>
      </c>
      <c r="C362" s="4" t="s">
        <v>196</v>
      </c>
      <c r="D362" s="4" t="s">
        <v>182</v>
      </c>
      <c r="E362" s="4" t="s">
        <v>179</v>
      </c>
      <c r="F362" s="44">
        <v>344.3</v>
      </c>
      <c r="G362" s="12"/>
    </row>
    <row r="363" spans="1:7" s="5" customFormat="1" ht="38.25" customHeight="1">
      <c r="A363" s="14" t="s">
        <v>235</v>
      </c>
      <c r="B363" s="4" t="s">
        <v>234</v>
      </c>
      <c r="C363" s="4" t="s">
        <v>193</v>
      </c>
      <c r="D363" s="4" t="s">
        <v>176</v>
      </c>
      <c r="E363" s="4" t="s">
        <v>177</v>
      </c>
      <c r="F363" s="44">
        <v>978999.55</v>
      </c>
      <c r="G363" s="12"/>
    </row>
    <row r="364" spans="1:6" s="5" customFormat="1" ht="51">
      <c r="A364" s="13" t="s">
        <v>153</v>
      </c>
      <c r="B364" s="4" t="s">
        <v>281</v>
      </c>
      <c r="C364" s="4" t="s">
        <v>193</v>
      </c>
      <c r="D364" s="4" t="s">
        <v>176</v>
      </c>
      <c r="E364" s="4" t="s">
        <v>180</v>
      </c>
      <c r="F364" s="44">
        <f>609934+184301+12056.77</f>
        <v>806291.77</v>
      </c>
    </row>
    <row r="365" spans="1:7" s="5" customFormat="1" ht="25.5">
      <c r="A365" s="10" t="s">
        <v>54</v>
      </c>
      <c r="B365" s="4" t="s">
        <v>266</v>
      </c>
      <c r="C365" s="4" t="s">
        <v>194</v>
      </c>
      <c r="D365" s="4" t="s">
        <v>179</v>
      </c>
      <c r="E365" s="4" t="s">
        <v>186</v>
      </c>
      <c r="F365" s="44">
        <v>230000</v>
      </c>
      <c r="G365" s="12"/>
    </row>
    <row r="366" spans="1:6" s="5" customFormat="1" ht="13.5">
      <c r="A366" s="10" t="s">
        <v>150</v>
      </c>
      <c r="B366" s="4" t="s">
        <v>266</v>
      </c>
      <c r="C366" s="4" t="s">
        <v>196</v>
      </c>
      <c r="D366" s="4" t="s">
        <v>179</v>
      </c>
      <c r="E366" s="4" t="s">
        <v>186</v>
      </c>
      <c r="F366" s="44">
        <v>47186</v>
      </c>
    </row>
    <row r="367" spans="1:6" s="5" customFormat="1" ht="30.75" customHeight="1">
      <c r="A367" s="10" t="s">
        <v>55</v>
      </c>
      <c r="B367" s="4" t="s">
        <v>555</v>
      </c>
      <c r="C367" s="4" t="s">
        <v>194</v>
      </c>
      <c r="D367" s="4" t="s">
        <v>176</v>
      </c>
      <c r="E367" s="4" t="s">
        <v>188</v>
      </c>
      <c r="F367" s="44">
        <f>1114452.03+980211.08</f>
        <v>2094663.1099999999</v>
      </c>
    </row>
    <row r="368" spans="1:6" s="5" customFormat="1" ht="28.5" customHeight="1">
      <c r="A368" s="10" t="s">
        <v>151</v>
      </c>
      <c r="B368" s="4" t="s">
        <v>555</v>
      </c>
      <c r="C368" s="4" t="s">
        <v>196</v>
      </c>
      <c r="D368" s="4" t="s">
        <v>176</v>
      </c>
      <c r="E368" s="4" t="s">
        <v>188</v>
      </c>
      <c r="F368" s="44">
        <f>299999.99+1287314.99</f>
        <v>1587314.98</v>
      </c>
    </row>
    <row r="369" spans="1:6" s="5" customFormat="1" ht="14.25" customHeight="1">
      <c r="A369" s="22" t="s">
        <v>192</v>
      </c>
      <c r="B369" s="4" t="s">
        <v>336</v>
      </c>
      <c r="C369" s="4"/>
      <c r="D369" s="4"/>
      <c r="E369" s="4"/>
      <c r="F369" s="44">
        <f>F370</f>
        <v>1980000</v>
      </c>
    </row>
    <row r="370" spans="1:6" s="5" customFormat="1" ht="28.5" customHeight="1">
      <c r="A370" s="10" t="s">
        <v>30</v>
      </c>
      <c r="B370" s="4" t="s">
        <v>337</v>
      </c>
      <c r="C370" s="4" t="s">
        <v>200</v>
      </c>
      <c r="D370" s="4" t="s">
        <v>184</v>
      </c>
      <c r="E370" s="4" t="s">
        <v>184</v>
      </c>
      <c r="F370" s="44">
        <v>1980000</v>
      </c>
    </row>
    <row r="371" spans="1:6" s="21" customFormat="1" ht="27" customHeight="1">
      <c r="A371" s="25" t="s">
        <v>268</v>
      </c>
      <c r="B371" s="4" t="s">
        <v>168</v>
      </c>
      <c r="C371" s="4"/>
      <c r="D371" s="4"/>
      <c r="E371" s="4"/>
      <c r="F371" s="44">
        <f>F372</f>
        <v>2029250</v>
      </c>
    </row>
    <row r="372" spans="1:6" s="3" customFormat="1" ht="13.5">
      <c r="A372" s="25" t="s">
        <v>170</v>
      </c>
      <c r="B372" s="4" t="s">
        <v>169</v>
      </c>
      <c r="C372" s="4" t="s">
        <v>196</v>
      </c>
      <c r="D372" s="4" t="s">
        <v>184</v>
      </c>
      <c r="E372" s="4" t="s">
        <v>176</v>
      </c>
      <c r="F372" s="44">
        <f>1909250+120000</f>
        <v>2029250</v>
      </c>
    </row>
    <row r="373" spans="1:6" s="3" customFormat="1" ht="13.5">
      <c r="A373" s="8" t="s">
        <v>195</v>
      </c>
      <c r="B373" s="46" t="s">
        <v>236</v>
      </c>
      <c r="C373" s="4"/>
      <c r="D373" s="4"/>
      <c r="E373" s="4"/>
      <c r="F373" s="44">
        <f>SUM(F374:F382)</f>
        <v>1195866.08</v>
      </c>
    </row>
    <row r="374" spans="1:6" s="3" customFormat="1" ht="25.5">
      <c r="A374" s="8" t="s">
        <v>230</v>
      </c>
      <c r="B374" s="4" t="s">
        <v>237</v>
      </c>
      <c r="C374" s="4" t="s">
        <v>196</v>
      </c>
      <c r="D374" s="4" t="s">
        <v>176</v>
      </c>
      <c r="E374" s="4" t="s">
        <v>177</v>
      </c>
      <c r="F374" s="44">
        <v>3239.02</v>
      </c>
    </row>
    <row r="375" spans="1:6" s="3" customFormat="1" ht="25.5">
      <c r="A375" s="8" t="s">
        <v>230</v>
      </c>
      <c r="B375" s="4" t="s">
        <v>237</v>
      </c>
      <c r="C375" s="4" t="s">
        <v>196</v>
      </c>
      <c r="D375" s="4" t="s">
        <v>176</v>
      </c>
      <c r="E375" s="4" t="s">
        <v>179</v>
      </c>
      <c r="F375" s="44">
        <f>287547+18649.24+510.76</f>
        <v>306707</v>
      </c>
    </row>
    <row r="376" spans="1:6" s="3" customFormat="1" ht="29.25" customHeight="1">
      <c r="A376" s="8" t="s">
        <v>230</v>
      </c>
      <c r="B376" s="4" t="s">
        <v>237</v>
      </c>
      <c r="C376" s="4" t="s">
        <v>196</v>
      </c>
      <c r="D376" s="4" t="s">
        <v>176</v>
      </c>
      <c r="E376" s="4" t="s">
        <v>180</v>
      </c>
      <c r="F376" s="44">
        <v>4500.02</v>
      </c>
    </row>
    <row r="377" spans="1:6" s="3" customFormat="1" ht="33.75" customHeight="1">
      <c r="A377" s="8" t="s">
        <v>230</v>
      </c>
      <c r="B377" s="4" t="s">
        <v>237</v>
      </c>
      <c r="C377" s="4" t="s">
        <v>196</v>
      </c>
      <c r="D377" s="4" t="s">
        <v>176</v>
      </c>
      <c r="E377" s="4" t="s">
        <v>188</v>
      </c>
      <c r="F377" s="44">
        <f>1000</f>
        <v>1000</v>
      </c>
    </row>
    <row r="378" spans="1:6" s="3" customFormat="1" ht="32.25" customHeight="1">
      <c r="A378" s="8" t="s">
        <v>230</v>
      </c>
      <c r="B378" s="4" t="s">
        <v>237</v>
      </c>
      <c r="C378" s="4" t="s">
        <v>196</v>
      </c>
      <c r="D378" s="4" t="s">
        <v>184</v>
      </c>
      <c r="E378" s="4" t="s">
        <v>184</v>
      </c>
      <c r="F378" s="44">
        <v>799291</v>
      </c>
    </row>
    <row r="379" spans="1:6" s="3" customFormat="1" ht="25.5">
      <c r="A379" s="8" t="s">
        <v>230</v>
      </c>
      <c r="B379" s="4" t="s">
        <v>237</v>
      </c>
      <c r="C379" s="4" t="s">
        <v>196</v>
      </c>
      <c r="D379" s="4" t="s">
        <v>182</v>
      </c>
      <c r="E379" s="4" t="s">
        <v>179</v>
      </c>
      <c r="F379" s="44">
        <v>1893.7</v>
      </c>
    </row>
    <row r="380" spans="1:6" s="3" customFormat="1" ht="25.5">
      <c r="A380" s="8" t="s">
        <v>230</v>
      </c>
      <c r="B380" s="4" t="s">
        <v>237</v>
      </c>
      <c r="C380" s="4" t="s">
        <v>196</v>
      </c>
      <c r="D380" s="4" t="s">
        <v>183</v>
      </c>
      <c r="E380" s="4" t="s">
        <v>180</v>
      </c>
      <c r="F380" s="44">
        <v>51493.34</v>
      </c>
    </row>
    <row r="381" spans="1:6" s="3" customFormat="1" ht="13.5">
      <c r="A381" s="24" t="s">
        <v>152</v>
      </c>
      <c r="B381" s="4" t="s">
        <v>154</v>
      </c>
      <c r="C381" s="4" t="s">
        <v>196</v>
      </c>
      <c r="D381" s="4" t="s">
        <v>177</v>
      </c>
      <c r="E381" s="4" t="s">
        <v>181</v>
      </c>
      <c r="F381" s="44">
        <v>11608</v>
      </c>
    </row>
    <row r="382" spans="1:6" s="3" customFormat="1" ht="38.25">
      <c r="A382" s="9" t="s">
        <v>17</v>
      </c>
      <c r="B382" s="4" t="s">
        <v>330</v>
      </c>
      <c r="C382" s="4" t="s">
        <v>196</v>
      </c>
      <c r="D382" s="4" t="s">
        <v>185</v>
      </c>
      <c r="E382" s="4" t="s">
        <v>181</v>
      </c>
      <c r="F382" s="44">
        <v>16134</v>
      </c>
    </row>
    <row r="383" spans="1:6" s="3" customFormat="1" ht="13.5">
      <c r="A383" s="10" t="s">
        <v>191</v>
      </c>
      <c r="B383" s="4" t="s">
        <v>155</v>
      </c>
      <c r="C383" s="4"/>
      <c r="D383" s="4"/>
      <c r="E383" s="4"/>
      <c r="F383" s="44">
        <f>SUM(F384:F394)</f>
        <v>24345393.110000003</v>
      </c>
    </row>
    <row r="384" spans="1:6" s="3" customFormat="1" ht="38.25">
      <c r="A384" s="17" t="s">
        <v>590</v>
      </c>
      <c r="B384" s="4" t="s">
        <v>156</v>
      </c>
      <c r="C384" s="4" t="s">
        <v>193</v>
      </c>
      <c r="D384" s="4" t="s">
        <v>177</v>
      </c>
      <c r="E384" s="4" t="s">
        <v>181</v>
      </c>
      <c r="F384" s="44">
        <f>3923775+1185779</f>
        <v>5109554</v>
      </c>
    </row>
    <row r="385" spans="1:6" ht="25.5">
      <c r="A385" s="17" t="s">
        <v>166</v>
      </c>
      <c r="B385" s="4" t="s">
        <v>156</v>
      </c>
      <c r="C385" s="4" t="s">
        <v>194</v>
      </c>
      <c r="D385" s="4" t="s">
        <v>177</v>
      </c>
      <c r="E385" s="4" t="s">
        <v>181</v>
      </c>
      <c r="F385" s="44">
        <f>216923.32+139415.91</f>
        <v>356339.23</v>
      </c>
    </row>
    <row r="386" spans="1:6" ht="13.5">
      <c r="A386" s="24" t="s">
        <v>152</v>
      </c>
      <c r="B386" s="4" t="s">
        <v>156</v>
      </c>
      <c r="C386" s="4" t="s">
        <v>196</v>
      </c>
      <c r="D386" s="4" t="s">
        <v>177</v>
      </c>
      <c r="E386" s="4" t="s">
        <v>181</v>
      </c>
      <c r="F386" s="44">
        <f>2799.77+1200</f>
        <v>3999.77</v>
      </c>
    </row>
    <row r="387" spans="1:6" ht="63.75">
      <c r="A387" s="9" t="s">
        <v>15</v>
      </c>
      <c r="B387" s="4" t="s">
        <v>403</v>
      </c>
      <c r="C387" s="4" t="s">
        <v>193</v>
      </c>
      <c r="D387" s="4" t="s">
        <v>185</v>
      </c>
      <c r="E387" s="4" t="s">
        <v>181</v>
      </c>
      <c r="F387" s="44">
        <f>9578657.55+4501.11+2880068.57</f>
        <v>12463227.23</v>
      </c>
    </row>
    <row r="388" spans="1:6" ht="63.75">
      <c r="A388" s="9" t="s">
        <v>15</v>
      </c>
      <c r="B388" s="4" t="s">
        <v>403</v>
      </c>
      <c r="C388" s="4" t="s">
        <v>193</v>
      </c>
      <c r="D388" s="4" t="s">
        <v>182</v>
      </c>
      <c r="E388" s="4" t="s">
        <v>179</v>
      </c>
      <c r="F388" s="44">
        <f>1567868.21+2458+457692.79</f>
        <v>2028019</v>
      </c>
    </row>
    <row r="389" spans="1:6" ht="63.75">
      <c r="A389" s="9" t="s">
        <v>15</v>
      </c>
      <c r="B389" s="4" t="s">
        <v>403</v>
      </c>
      <c r="C389" s="4" t="s">
        <v>193</v>
      </c>
      <c r="D389" s="4" t="s">
        <v>187</v>
      </c>
      <c r="E389" s="4" t="s">
        <v>184</v>
      </c>
      <c r="F389" s="44">
        <f>2159638.92+690+642349.06</f>
        <v>2802677.98</v>
      </c>
    </row>
    <row r="390" spans="1:6" ht="41.25" customHeight="1">
      <c r="A390" s="9" t="s">
        <v>16</v>
      </c>
      <c r="B390" s="4" t="s">
        <v>403</v>
      </c>
      <c r="C390" s="4" t="s">
        <v>194</v>
      </c>
      <c r="D390" s="4" t="s">
        <v>185</v>
      </c>
      <c r="E390" s="4" t="s">
        <v>181</v>
      </c>
      <c r="F390" s="44">
        <f>650695.42+541854.3</f>
        <v>1192549.7200000002</v>
      </c>
    </row>
    <row r="391" spans="1:6" ht="43.5" customHeight="1">
      <c r="A391" s="9" t="s">
        <v>16</v>
      </c>
      <c r="B391" s="4" t="s">
        <v>403</v>
      </c>
      <c r="C391" s="4" t="s">
        <v>194</v>
      </c>
      <c r="D391" s="4" t="s">
        <v>182</v>
      </c>
      <c r="E391" s="4" t="s">
        <v>179</v>
      </c>
      <c r="F391" s="44">
        <f>110284.91+24106</f>
        <v>134390.91</v>
      </c>
    </row>
    <row r="392" spans="1:6" ht="41.25" customHeight="1">
      <c r="A392" s="9" t="s">
        <v>16</v>
      </c>
      <c r="B392" s="4" t="s">
        <v>403</v>
      </c>
      <c r="C392" s="4" t="s">
        <v>194</v>
      </c>
      <c r="D392" s="4" t="s">
        <v>187</v>
      </c>
      <c r="E392" s="4" t="s">
        <v>184</v>
      </c>
      <c r="F392" s="44">
        <f>225239.69+10183</f>
        <v>235422.69</v>
      </c>
    </row>
    <row r="393" spans="1:6" ht="38.25">
      <c r="A393" s="9" t="s">
        <v>17</v>
      </c>
      <c r="B393" s="4" t="s">
        <v>403</v>
      </c>
      <c r="C393" s="4" t="s">
        <v>196</v>
      </c>
      <c r="D393" s="4" t="s">
        <v>185</v>
      </c>
      <c r="E393" s="4" t="s">
        <v>181</v>
      </c>
      <c r="F393" s="44">
        <f>10013.64+8526.46</f>
        <v>18540.1</v>
      </c>
    </row>
    <row r="394" spans="1:6" ht="39" thickBot="1">
      <c r="A394" s="47" t="s">
        <v>17</v>
      </c>
      <c r="B394" s="48" t="s">
        <v>403</v>
      </c>
      <c r="C394" s="48" t="s">
        <v>196</v>
      </c>
      <c r="D394" s="48" t="s">
        <v>187</v>
      </c>
      <c r="E394" s="48" t="s">
        <v>184</v>
      </c>
      <c r="F394" s="49">
        <v>672.48</v>
      </c>
    </row>
  </sheetData>
  <sheetProtection/>
  <mergeCells count="3">
    <mergeCell ref="A3:F3"/>
    <mergeCell ref="A2:F2"/>
    <mergeCell ref="B1:F1"/>
  </mergeCells>
  <printOptions/>
  <pageMargins left="0.8267716535433072" right="0.1968503937007874" top="0.3937007874015748" bottom="0.1968503937007874" header="0.1968503937007874" footer="0.11811023622047245"/>
  <pageSetup fitToHeight="13" fitToWidth="1" horizontalDpi="600" verticalDpi="600" orientation="portrait" paperSize="9" scale="85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2016-12-29T09:19:25Z</cp:lastPrinted>
  <dcterms:created xsi:type="dcterms:W3CDTF">2008-10-16T09:22:50Z</dcterms:created>
  <dcterms:modified xsi:type="dcterms:W3CDTF">2016-12-29T09:25:07Z</dcterms:modified>
  <cp:category/>
  <cp:version/>
  <cp:contentType/>
  <cp:contentStatus/>
</cp:coreProperties>
</file>